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lony" sheetId="1" r:id="rId3"/>
    <sheet state="visible" name="Solar unit" sheetId="2" r:id="rId4"/>
    <sheet state="visible" name="Structural" sheetId="3" r:id="rId5"/>
    <sheet state="visible" name="Colony growth" sheetId="4" r:id="rId6"/>
    <sheet state="visible" name="BFS" sheetId="5" r:id="rId7"/>
    <sheet state="visible" name="Propellant production" sheetId="6" r:id="rId8"/>
    <sheet state="visible" name="Mass" sheetId="7" r:id="rId9"/>
    <sheet state="visible" name="Algae" sheetId="8" r:id="rId10"/>
    <sheet state="visible" name="latswithopdeps" sheetId="9" r:id="rId11"/>
    <sheet state="visible" name="Questions and data" sheetId="10" r:id="rId12"/>
  </sheets>
  <definedNames/>
  <calcPr/>
</workbook>
</file>

<file path=xl/sharedStrings.xml><?xml version="1.0" encoding="utf-8"?>
<sst xmlns="http://schemas.openxmlformats.org/spreadsheetml/2006/main" count="1278" uniqueCount="874">
  <si>
    <t>Solar unit, flexible support solar cell arrays</t>
  </si>
  <si>
    <t>Mars</t>
  </si>
  <si>
    <t>Earth orbit</t>
  </si>
  <si>
    <t>area</t>
  </si>
  <si>
    <t>m2</t>
  </si>
  <si>
    <t>Tunnel structural calculations</t>
  </si>
  <si>
    <t>hoop stress</t>
  </si>
  <si>
    <t>Valid for thin walled cylinders, such as pipes and long cylinders. For a thick walled cylinder, a radial stress component is added. Since we are designing our ship to be as light as possible, thick walled cylinders are not a required refinement.</t>
  </si>
  <si>
    <t>Design of a Mars colony based on SpaceX BFS</t>
  </si>
  <si>
    <t>Design assumptions</t>
  </si>
  <si>
    <t>Stress = Pressure x radius / thickness of wall</t>
  </si>
  <si>
    <t>σ=Pr/2t for tank ends</t>
  </si>
  <si>
    <t>σ=Pr/t</t>
  </si>
  <si>
    <t>This is a colony, not an outpost, so everything is chosen for long term development</t>
  </si>
  <si>
    <t>There is energy required for ISRU fuel production, and a minimum power level for the equipment.  There are not the same</t>
  </si>
  <si>
    <t>Pressure</t>
  </si>
  <si>
    <t>unit</t>
  </si>
  <si>
    <t>References</t>
  </si>
  <si>
    <t>BFS capacity</t>
  </si>
  <si>
    <t>Pressurised volume</t>
  </si>
  <si>
    <t>m3</t>
  </si>
  <si>
    <t>P</t>
  </si>
  <si>
    <t>kPa</t>
  </si>
  <si>
    <t>SpaceX 2018 Moon presentation</t>
  </si>
  <si>
    <t>Cargo mass</t>
  </si>
  <si>
    <t>Radius</t>
  </si>
  <si>
    <t>tonnes</t>
  </si>
  <si>
    <t>r</t>
  </si>
  <si>
    <t>SpaceX moon presentation</t>
  </si>
  <si>
    <t>m</t>
  </si>
  <si>
    <t>Vehicle mass</t>
  </si>
  <si>
    <t>Wall thickness</t>
  </si>
  <si>
    <t>t</t>
  </si>
  <si>
    <t>Stress</t>
  </si>
  <si>
    <t>σ=</t>
  </si>
  <si>
    <t>SpaceX Moon presentation</t>
  </si>
  <si>
    <t>Unloading method</t>
  </si>
  <si>
    <t>Crane and cable</t>
  </si>
  <si>
    <t>Mars solar parameters</t>
  </si>
  <si>
    <t>Solar constant</t>
  </si>
  <si>
    <t>Sc</t>
  </si>
  <si>
    <t>W/m2</t>
  </si>
  <si>
    <t>NASA</t>
  </si>
  <si>
    <t>Solar cell efficiency</t>
  </si>
  <si>
    <t>f</t>
  </si>
  <si>
    <t>Pa</t>
  </si>
  <si>
    <t>See wikipedia, could go to 34%</t>
  </si>
  <si>
    <t>Array voltage</t>
  </si>
  <si>
    <t>V</t>
  </si>
  <si>
    <t>NASA presentation</t>
  </si>
  <si>
    <t>Tracking vs fixed</t>
  </si>
  <si>
    <t>Tracking produces 40% more energy for the same installed power</t>
  </si>
  <si>
    <t>https://www.allearthrenewables.com/dual-axis-tracker-vs-roof-mount-solar-case-study</t>
  </si>
  <si>
    <t>Average tracking hours per day</t>
  </si>
  <si>
    <t>h</t>
  </si>
  <si>
    <t>Factor of safety hidden here</t>
  </si>
  <si>
    <t>Loss through atmosphere</t>
  </si>
  <si>
    <t xml:space="preserve">MAx stress </t>
  </si>
  <si>
    <t>l1</t>
  </si>
  <si>
    <t>Carbon composite</t>
  </si>
  <si>
    <t>Mpa</t>
  </si>
  <si>
    <t>From various papers</t>
  </si>
  <si>
    <t>Tesla supercharger</t>
  </si>
  <si>
    <t>dust losses</t>
  </si>
  <si>
    <t>Space array</t>
  </si>
  <si>
    <t>l2</t>
  </si>
  <si>
    <t>FS</t>
  </si>
  <si>
    <t>Best guess, includes general degradation over time</t>
  </si>
  <si>
    <t>https://ntrs.nasa.gov/archive/nasa/casi.ntrs.nasa.gov/20140000360.pdf</t>
  </si>
  <si>
    <t>solarcell coverage panel area</t>
  </si>
  <si>
    <t>w/m2</t>
  </si>
  <si>
    <t>Average illumination on surface during the day</t>
  </si>
  <si>
    <t>Sw=Sc*(1-
(l1+l2))</t>
  </si>
  <si>
    <t>kw</t>
  </si>
  <si>
    <t>length</t>
  </si>
  <si>
    <t>actual cell area</t>
  </si>
  <si>
    <t>volume</t>
  </si>
  <si>
    <t>equivalent average irradience</t>
  </si>
  <si>
    <t>Sa=Sw*t/24</t>
  </si>
  <si>
    <t>voltage (V)</t>
  </si>
  <si>
    <t>W/kg</t>
  </si>
  <si>
    <t>Efficiency</t>
  </si>
  <si>
    <t>Current (A)</t>
  </si>
  <si>
    <t>density</t>
  </si>
  <si>
    <t>kg/m3</t>
  </si>
  <si>
    <t>kg/m</t>
  </si>
  <si>
    <t>Seems not too optimistic</t>
  </si>
  <si>
    <t>kg/m2</t>
  </si>
  <si>
    <t>Average energy per day with tracking</t>
  </si>
  <si>
    <t>Ed=Sa*t</t>
  </si>
  <si>
    <t>J/m2</t>
  </si>
  <si>
    <t>length of tunnels</t>
  </si>
  <si>
    <t>Peak power</t>
  </si>
  <si>
    <t>W</t>
  </si>
  <si>
    <t>Beam loading</t>
  </si>
  <si>
    <t>Average electrical energy per day</t>
  </si>
  <si>
    <t>Ea=Ed*f</t>
  </si>
  <si>
    <t>strap masses</t>
  </si>
  <si>
    <t>J/m2/day</t>
  </si>
  <si>
    <t>kW</t>
  </si>
  <si>
    <t>w=101 kN/m</t>
  </si>
  <si>
    <t>End cap anchoring</t>
  </si>
  <si>
    <t>Average power</t>
  </si>
  <si>
    <t>Standard solar array</t>
  </si>
  <si>
    <t>hp</t>
  </si>
  <si>
    <t>Average power from a solar array</t>
  </si>
  <si>
    <t>Energy cost on Mars</t>
  </si>
  <si>
    <t>kWh/day/m2</t>
  </si>
  <si>
    <t>lb/ft2</t>
  </si>
  <si>
    <t>Area of cap</t>
  </si>
  <si>
    <t>time</t>
  </si>
  <si>
    <t>Force</t>
  </si>
  <si>
    <t>N</t>
  </si>
  <si>
    <t>mass</t>
  </si>
  <si>
    <t>NASA 208 BIG Challenge target, also refered to in other papers</t>
  </si>
  <si>
    <t>power converters,batteries and power lines</t>
  </si>
  <si>
    <t>panel cost with accessories</t>
  </si>
  <si>
    <t>x</t>
  </si>
  <si>
    <t>T</t>
  </si>
  <si>
    <t>Area of anchor</t>
  </si>
  <si>
    <t>Strain</t>
  </si>
  <si>
    <t>$/m2</t>
  </si>
  <si>
    <t>Cost on Earth</t>
  </si>
  <si>
    <t>resistance</t>
  </si>
  <si>
    <t>Peak energy per day</t>
  </si>
  <si>
    <t>kWh</t>
  </si>
  <si>
    <t>Flexion in wall members</t>
  </si>
  <si>
    <t>kPa (kN/m2)</t>
  </si>
  <si>
    <t>total mass</t>
  </si>
  <si>
    <t>Tension strength of blocks</t>
  </si>
  <si>
    <t>Psi</t>
  </si>
  <si>
    <t>Sb</t>
  </si>
  <si>
    <t>voltage</t>
  </si>
  <si>
    <t>amperes</t>
  </si>
  <si>
    <t>A</t>
  </si>
  <si>
    <t>transportation cost</t>
  </si>
  <si>
    <t>Solar cells</t>
  </si>
  <si>
    <t>$/kg</t>
  </si>
  <si>
    <t>silicium density</t>
  </si>
  <si>
    <t>total cost</t>
  </si>
  <si>
    <t>thickness</t>
  </si>
  <si>
    <t>mass for array</t>
  </si>
  <si>
    <t>kg</t>
  </si>
  <si>
    <t>s=MC/I</t>
  </si>
  <si>
    <t>years</t>
  </si>
  <si>
    <t>I=bh3/12</t>
  </si>
  <si>
    <t>I</t>
  </si>
  <si>
    <t>availability</t>
  </si>
  <si>
    <t>b</t>
  </si>
  <si>
    <t>conductive backing mass</t>
  </si>
  <si>
    <t>aluminium density</t>
  </si>
  <si>
    <t>total production</t>
  </si>
  <si>
    <t>m4</t>
  </si>
  <si>
    <t>production cost</t>
  </si>
  <si>
    <t>$/kWh</t>
  </si>
  <si>
    <t>flex support mass</t>
  </si>
  <si>
    <t>selling cost (maintenance, profit, installation)</t>
  </si>
  <si>
    <t>x2</t>
  </si>
  <si>
    <t>tube mass, deployment system</t>
  </si>
  <si>
    <t>diameter</t>
  </si>
  <si>
    <t>Estimation cost</t>
  </si>
  <si>
    <t>C</t>
  </si>
  <si>
    <t>h/2</t>
  </si>
  <si>
    <t>volume of tube</t>
  </si>
  <si>
    <t>Moment, uniform load, two supports, no restraints on end</t>
  </si>
  <si>
    <t>M=w*x^2/2</t>
  </si>
  <si>
    <t>kN/m</t>
  </si>
  <si>
    <t>$/GJ</t>
  </si>
  <si>
    <t>M</t>
  </si>
  <si>
    <t>mass of tube</t>
  </si>
  <si>
    <t>kNm</t>
  </si>
  <si>
    <t>conductors no10 wire</t>
  </si>
  <si>
    <t>s</t>
  </si>
  <si>
    <t xml:space="preserve">mass </t>
  </si>
  <si>
    <t>Sb/s</t>
  </si>
  <si>
    <t>Charger controler</t>
  </si>
  <si>
    <t>mass creep</t>
  </si>
  <si>
    <t>Energy for fuel production</t>
  </si>
  <si>
    <t>GJ</t>
  </si>
  <si>
    <t>Actual strain is less as there is some end support</t>
  </si>
  <si>
    <t>CEB mass</t>
  </si>
  <si>
    <t>lenghtm</t>
  </si>
  <si>
    <t>km/m3</t>
  </si>
  <si>
    <t>total</t>
  </si>
  <si>
    <t>see fuel production spreadsheet</t>
  </si>
  <si>
    <t>period of production</t>
  </si>
  <si>
    <t>tp</t>
  </si>
  <si>
    <t>days</t>
  </si>
  <si>
    <t>kg on Mars</t>
  </si>
  <si>
    <t>Unit area mass</t>
  </si>
  <si>
    <t>Can be lifted by 2 persons</t>
  </si>
  <si>
    <t>kg per meter</t>
  </si>
  <si>
    <t>Unit power</t>
  </si>
  <si>
    <t>Blocks required</t>
  </si>
  <si>
    <t>2 years, or about a synod</t>
  </si>
  <si>
    <t>Ef</t>
  </si>
  <si>
    <t>GJ/d</t>
  </si>
  <si>
    <t>cell area required</t>
  </si>
  <si>
    <t>Mylar film</t>
  </si>
  <si>
    <t>mm</t>
  </si>
  <si>
    <t>solar power system mass</t>
  </si>
  <si>
    <t>tunnel area</t>
  </si>
  <si>
    <t>Number of layers</t>
  </si>
  <si>
    <t>Cost of energy for fuel production</t>
  </si>
  <si>
    <t>mass of a mylar film over entire colony</t>
  </si>
  <si>
    <t>Energy for transportation</t>
  </si>
  <si>
    <t>Tesla model X analogy</t>
  </si>
  <si>
    <t>Stored energy</t>
  </si>
  <si>
    <t>Es</t>
  </si>
  <si>
    <t>Larger battery</t>
  </si>
  <si>
    <t>A Martian vehicle might be based around 2x100 kWh Tesla power packs</t>
  </si>
  <si>
    <t>range</t>
  </si>
  <si>
    <t>R</t>
  </si>
  <si>
    <t>km</t>
  </si>
  <si>
    <t>experience of losses for cold area at 30%</t>
  </si>
  <si>
    <t>R2=R*0,7</t>
  </si>
  <si>
    <t>This is the reported reduction in range during winter in Canada</t>
  </si>
  <si>
    <t>safety factor</t>
  </si>
  <si>
    <t>planned range</t>
  </si>
  <si>
    <t>Rp=R2(1-f)</t>
  </si>
  <si>
    <t>Range per GJ</t>
  </si>
  <si>
    <t>r=Rp/Es</t>
  </si>
  <si>
    <t>km/GJ</t>
  </si>
  <si>
    <t>Distance explored per day</t>
  </si>
  <si>
    <t>Rx</t>
  </si>
  <si>
    <t>km/day</t>
  </si>
  <si>
    <t>Exploration</t>
  </si>
  <si>
    <t>Ex</t>
  </si>
  <si>
    <t>GJ/day</t>
  </si>
  <si>
    <t>Array required</t>
  </si>
  <si>
    <t>Mass of model X battery</t>
  </si>
  <si>
    <t>mb</t>
  </si>
  <si>
    <t>Tesla</t>
  </si>
  <si>
    <t>kg/GJ</t>
  </si>
  <si>
    <t>On site storage battery packs</t>
  </si>
  <si>
    <t>This might be distributed to charging stations for extended range, and in an 'always full' rescue vehicle</t>
  </si>
  <si>
    <t>accesories factor</t>
  </si>
  <si>
    <t>Total transportation power system mass</t>
  </si>
  <si>
    <t>total energy over period</t>
  </si>
  <si>
    <t>Energy for colony, production and life support</t>
  </si>
  <si>
    <t>This requires additional power for sand storm provisions</t>
  </si>
  <si>
    <t>Power per crewperson</t>
  </si>
  <si>
    <t>needs justification</t>
  </si>
  <si>
    <t>Power for crew</t>
  </si>
  <si>
    <t>Energy per day</t>
  </si>
  <si>
    <t>kWh/d</t>
  </si>
  <si>
    <t>Ec</t>
  </si>
  <si>
    <t>Safety factor due to sand storm</t>
  </si>
  <si>
    <t>down to 37% normal</t>
  </si>
  <si>
    <t>Ec*f</t>
  </si>
  <si>
    <t>required installed</t>
  </si>
  <si>
    <t>Mass of solar panels</t>
  </si>
  <si>
    <t>Mars return</t>
  </si>
  <si>
    <t>Model variables and parameters</t>
  </si>
  <si>
    <t>Birth rate</t>
  </si>
  <si>
    <t>Stored energy per day</t>
  </si>
  <si>
    <t>Slightly over replacement rate</t>
  </si>
  <si>
    <t>Mass of batteries from vehicle section</t>
  </si>
  <si>
    <t>Life expectancy</t>
  </si>
  <si>
    <t>Total life support energy production mass</t>
  </si>
  <si>
    <t>crews to be 50/50 ratio male female</t>
  </si>
  <si>
    <t>Earth Mars synods</t>
  </si>
  <si>
    <t>Time between flights</t>
  </si>
  <si>
    <t>Emigration (return rate)</t>
  </si>
  <si>
    <t>Tonnes</t>
  </si>
  <si>
    <t>Ship cargo</t>
  </si>
  <si>
    <t>Total energy over period</t>
  </si>
  <si>
    <t>Propellant per return flight</t>
  </si>
  <si>
    <t>ISRU production of CH4, O2 is 1/10 the cost</t>
  </si>
  <si>
    <t>Fuel production rate</t>
  </si>
  <si>
    <t>kg/hr</t>
  </si>
  <si>
    <t>ITS 9m</t>
  </si>
  <si>
    <t>Energy for propellant</t>
  </si>
  <si>
    <t>kJ/kg</t>
  </si>
  <si>
    <t>Structure</t>
  </si>
  <si>
    <t>Energy for mining</t>
  </si>
  <si>
    <t>Mass of water required</t>
  </si>
  <si>
    <t>mw</t>
  </si>
  <si>
    <t>Power for fuel</t>
  </si>
  <si>
    <t>From fuel production sheet</t>
  </si>
  <si>
    <t>Specific heat of water</t>
  </si>
  <si>
    <t>Cp</t>
  </si>
  <si>
    <t>water usage on colony</t>
  </si>
  <si>
    <t>KJ/kgK</t>
  </si>
  <si>
    <t>liters/day/pers</t>
  </si>
  <si>
    <t>Production safety factor</t>
  </si>
  <si>
    <t>new water, otherwise recycled</t>
  </si>
  <si>
    <t>food</t>
  </si>
  <si>
    <t>Mass of water produced</t>
  </si>
  <si>
    <t>kg/pers/day</t>
  </si>
  <si>
    <t>Dry mass</t>
  </si>
  <si>
    <t>NASA number</t>
  </si>
  <si>
    <t>vehicles per person</t>
  </si>
  <si>
    <t>Ms</t>
  </si>
  <si>
    <t>Mars rovers and trucks</t>
  </si>
  <si>
    <t>length of road per person</t>
  </si>
  <si>
    <t>Period</t>
  </si>
  <si>
    <t>Earth 2014</t>
  </si>
  <si>
    <t>Production period</t>
  </si>
  <si>
    <t>h/day</t>
  </si>
  <si>
    <t>water is produced during solar peak.</t>
  </si>
  <si>
    <t>Production rate required</t>
  </si>
  <si>
    <t>Wikipedia</t>
  </si>
  <si>
    <t>freight</t>
  </si>
  <si>
    <t>tonnes/year/pers</t>
  </si>
  <si>
    <t>Freight moved on Mars, including air and water</t>
  </si>
  <si>
    <t>GDP</t>
  </si>
  <si>
    <t>$/year/per</t>
  </si>
  <si>
    <t>Martian GDP, a bit better than New York city</t>
  </si>
  <si>
    <t>power per person</t>
  </si>
  <si>
    <t>Guess</t>
  </si>
  <si>
    <t>solar mean available power</t>
  </si>
  <si>
    <t>Energy to melt ice</t>
  </si>
  <si>
    <t>KJ/kg</t>
  </si>
  <si>
    <t>Power to move</t>
  </si>
  <si>
    <t>hard rock miner's handbook</t>
  </si>
  <si>
    <t>Payload</t>
  </si>
  <si>
    <t>Power to break</t>
  </si>
  <si>
    <t>specific heat of water</t>
  </si>
  <si>
    <t>580 W/m2, 20% efficiency, 25% of the time (30% efficiency already available)0,8 (angle) *0,8 dust*0.8 transport and conversion losses*0.8 orbital variations</t>
  </si>
  <si>
    <t>kJ/kgK</t>
  </si>
  <si>
    <t>solar panel mass</t>
  </si>
  <si>
    <t>temperature difference</t>
  </si>
  <si>
    <t>c</t>
  </si>
  <si>
    <t>My</t>
  </si>
  <si>
    <t>Total melt energy</t>
  </si>
  <si>
    <t>Landing propellant</t>
  </si>
  <si>
    <t>Ml</t>
  </si>
  <si>
    <t>SAWS, solar array design guidelines</t>
  </si>
  <si>
    <t>Population model</t>
  </si>
  <si>
    <t>year</t>
  </si>
  <si>
    <t>Phase change of ice to water energy</t>
  </si>
  <si>
    <t xml:space="preserve">  Landing Ox</t>
  </si>
  <si>
    <t>Average Mars temperature</t>
  </si>
  <si>
    <t>K</t>
  </si>
  <si>
    <t>Final water temperature</t>
  </si>
  <si>
    <t>Interval</t>
  </si>
  <si>
    <t>Water temperature difference</t>
  </si>
  <si>
    <t>dt</t>
  </si>
  <si>
    <t xml:space="preserve">  Landing fuel</t>
  </si>
  <si>
    <t>Temperature raise to melt water</t>
  </si>
  <si>
    <t>Water heating</t>
  </si>
  <si>
    <t>m*cp*dt</t>
  </si>
  <si>
    <t>Ice and rock crushing</t>
  </si>
  <si>
    <t>t/kWh</t>
  </si>
  <si>
    <t>hard rock miners</t>
  </si>
  <si>
    <t>water to rock ratio</t>
  </si>
  <si>
    <t>Extra rock mixed in</t>
  </si>
  <si>
    <t>Mass of treated water mineral mix</t>
  </si>
  <si>
    <t>Oxidiser used</t>
  </si>
  <si>
    <t>total mass of ice and rocks</t>
  </si>
  <si>
    <t>Energy to crush rock and ice for processing</t>
  </si>
  <si>
    <t>Mo</t>
  </si>
  <si>
    <t>Colony age</t>
  </si>
  <si>
    <t>Oxidiser/fuel ratio, fuel rich</t>
  </si>
  <si>
    <t>Hauling</t>
  </si>
  <si>
    <t>Distance</t>
  </si>
  <si>
    <t>round trip</t>
  </si>
  <si>
    <t>Fuel used</t>
  </si>
  <si>
    <t>Mf</t>
  </si>
  <si>
    <t>Mass per trip</t>
  </si>
  <si>
    <t>total km travel distance from water extraction site</t>
  </si>
  <si>
    <t>Immigration</t>
  </si>
  <si>
    <t>hauling energy</t>
  </si>
  <si>
    <t>From the vehicle section</t>
  </si>
  <si>
    <t>total energy for mining and water production</t>
  </si>
  <si>
    <t> Crewed Flights per synod</t>
  </si>
  <si>
    <t>propellant mass used for take off</t>
  </si>
  <si>
    <t>Mo+Mf</t>
  </si>
  <si>
    <t>Solar panel area required</t>
  </si>
  <si>
    <t>total propellant</t>
  </si>
  <si>
    <t xml:space="preserve"> Flights per period</t>
  </si>
  <si>
    <t>Mp=M0+Ml+Mf</t>
  </si>
  <si>
    <t>total energy over period for all activities</t>
  </si>
  <si>
    <t> People per flight</t>
  </si>
  <si>
    <t>Total mass</t>
  </si>
  <si>
    <t>Mt=Mp+Ms+My</t>
  </si>
  <si>
    <t> Total Immigration</t>
  </si>
  <si>
    <t>Cost per period</t>
  </si>
  <si>
    <t>Cost per crew per day</t>
  </si>
  <si>
    <t>Payload ratio</t>
  </si>
  <si>
    <t>My(S2)/Mt</t>
  </si>
  <si>
    <t>Vehicle mass fraction</t>
  </si>
  <si>
    <t>Population</t>
  </si>
  <si>
    <t>Cost per crew per year</t>
  </si>
  <si>
    <t>Tank diameter</t>
  </si>
  <si>
    <t>Tank fill ratio</t>
  </si>
  <si>
    <t>Basic biological food combustion process and food requirements</t>
  </si>
  <si>
    <t>Oxydiser density</t>
  </si>
  <si>
    <t>tonne/m3</t>
  </si>
  <si>
    <t>Tank volume oxygen</t>
  </si>
  <si>
    <t>Food allocations, NASA</t>
  </si>
  <si>
    <t>one person</t>
  </si>
  <si>
    <t>Colonists</t>
  </si>
  <si>
    <t>Births per year</t>
  </si>
  <si>
    <t>Oxygen tank length</t>
  </si>
  <si>
    <t>Molecular</t>
  </si>
  <si>
    <t>mass for Apollo/Gemini</t>
  </si>
  <si>
    <t>Fuel density, CH4</t>
  </si>
  <si>
    <t>t/m3</t>
  </si>
  <si>
    <t>tank diameter</t>
  </si>
  <si>
    <t>Fuel Tank volume</t>
  </si>
  <si>
    <t>Colonist</t>
  </si>
  <si>
    <t>Fuel Tank length</t>
  </si>
  <si>
    <t>Cabin</t>
  </si>
  <si>
    <t>Interstage and engines</t>
  </si>
  <si>
    <t>Total length</t>
  </si>
  <si>
    <t>mass for shuttle</t>
  </si>
  <si>
    <t>Oxygen</t>
  </si>
  <si>
    <t>O2</t>
  </si>
  <si>
    <t>Deaths per year (1%/year)</t>
  </si>
  <si>
    <t>kg/day</t>
  </si>
  <si>
    <t>Daily oxygen required for food combustion.  We Breathe a lot more</t>
  </si>
  <si>
    <t>volume for shuttle</t>
  </si>
  <si>
    <t>Increase over period</t>
  </si>
  <si>
    <t>CH2O</t>
  </si>
  <si>
    <t>S1+S2</t>
  </si>
  <si>
    <t>School population</t>
  </si>
  <si>
    <t>This is the part of food that we burn</t>
  </si>
  <si>
    <t>Propulsion performance</t>
  </si>
  <si>
    <t>Retired population</t>
  </si>
  <si>
    <t>m3/kg shuttle</t>
  </si>
  <si>
    <t>combustion</t>
  </si>
  <si>
    <t>O2+CH2O</t>
  </si>
  <si>
    <t>Timeline</t>
  </si>
  <si>
    <t>First flight BFR</t>
  </si>
  <si>
    <t>University required</t>
  </si>
  <si>
    <t>Local food production&gt;cargo</t>
  </si>
  <si>
    <t>SEP cargo starts</t>
  </si>
  <si>
    <t>Colony produces more than it buys</t>
  </si>
  <si>
    <t>This is the basic food combustion process, no matter what the food</t>
  </si>
  <si>
    <t>ISP (average)</t>
  </si>
  <si>
    <t>goal of 1,000,000 inhabitants reached</t>
  </si>
  <si>
    <t>CO2 from combustion</t>
  </si>
  <si>
    <t>Vague economic analysis</t>
  </si>
  <si>
    <t>Solar power weight&gt;cargo</t>
  </si>
  <si>
    <t>Cost to Mars</t>
  </si>
  <si>
    <t>Cargo to passenger ratio</t>
  </si>
  <si>
    <t>Ejection velocity</t>
  </si>
  <si>
    <t>Ve</t>
  </si>
  <si>
    <t>m/s</t>
  </si>
  <si>
    <t>Respiration</t>
  </si>
  <si>
    <t>Water from combustion</t>
  </si>
  <si>
    <t>vf=ve*ln(Mo/mf)</t>
  </si>
  <si>
    <t>Vf</t>
  </si>
  <si>
    <t>Respiration, sweat and urine, mostly</t>
  </si>
  <si>
    <t>Unburned food proportion</t>
  </si>
  <si>
    <t>cargo flights</t>
  </si>
  <si>
    <t>Fibers, minerals that go into waste recovery systems</t>
  </si>
  <si>
    <t>total food mass per day</t>
  </si>
  <si>
    <t>cargo per flight</t>
  </si>
  <si>
    <t>Shuttle was 1,7</t>
  </si>
  <si>
    <t>deltaV (target 6700 min)</t>
  </si>
  <si>
    <t>Water per day</t>
  </si>
  <si>
    <t>total cargo</t>
  </si>
  <si>
    <t>Almost all returned as urine and sweat to be recycled</t>
  </si>
  <si>
    <t>recycling efficiency</t>
  </si>
  <si>
    <t>This is a guess</t>
  </si>
  <si>
    <t>Time in calculation period</t>
  </si>
  <si>
    <t>transport cost</t>
  </si>
  <si>
    <t>million $</t>
  </si>
  <si>
    <t>Total trip time</t>
  </si>
  <si>
    <t>Power</t>
  </si>
  <si>
    <t>P=F*Ve/2</t>
  </si>
  <si>
    <t>GWatt</t>
  </si>
  <si>
    <t>Total food per period</t>
  </si>
  <si>
    <t>Engine thrust</t>
  </si>
  <si>
    <t>Water per period</t>
  </si>
  <si>
    <t>number of engines</t>
  </si>
  <si>
    <t xml:space="preserve">  Water per period with recycling</t>
  </si>
  <si>
    <t>Thrust, vertical flight</t>
  </si>
  <si>
    <t>kN</t>
  </si>
  <si>
    <t>Passenger payments</t>
  </si>
  <si>
    <t>million$ per trip</t>
  </si>
  <si>
    <t>all the losses plus the water for one day</t>
  </si>
  <si>
    <t>Oxygen per period</t>
  </si>
  <si>
    <t xml:space="preserve">  Oxygen per period with recycling</t>
  </si>
  <si>
    <t>Thrust to weight ratio</t>
  </si>
  <si>
    <t>mars</t>
  </si>
  <si>
    <t>all the losses plus the oxygen for one day</t>
  </si>
  <si>
    <t>food production in artificial lighting green houses</t>
  </si>
  <si>
    <t>aerofarm</t>
  </si>
  <si>
    <t>company web site</t>
  </si>
  <si>
    <t>pi2</t>
  </si>
  <si>
    <t>Food per day</t>
  </si>
  <si>
    <t>kg/colonist</t>
  </si>
  <si>
    <t>Fuel consumption</t>
  </si>
  <si>
    <t>t/s</t>
  </si>
  <si>
    <t>lb</t>
  </si>
  <si>
    <t>food per year, colony</t>
  </si>
  <si>
    <t>Propulsion times</t>
  </si>
  <si>
    <t>min</t>
  </si>
  <si>
    <t>Cargo as % GDP</t>
  </si>
  <si>
    <t>Extra production, loss and stockpiling</t>
  </si>
  <si>
    <t>yield</t>
  </si>
  <si>
    <t>critical, yield with daytime lighting</t>
  </si>
  <si>
    <t>Barley: grains – 1.6–2.8 tons/acre, straw – 0.9–2.5 tons/acre, total – 2.5–5.3 tons/acre[29]</t>
  </si>
  <si>
    <t>Engine efficiency</t>
  </si>
  <si>
    <t>tonnes/hectare</t>
  </si>
  <si>
    <t>Corn: grains – 3.2–4.9 tons/acre, stalks and stovers – 2.3–3.4 tons/acre, total – 5.5–8.3 tons/acre[28]</t>
  </si>
  <si>
    <t>tonnes/acre</t>
  </si>
  <si>
    <t>Jerusalem artichokes: tubers 1–8 tons/acre, tops 2–13 tons/acre, total 9–13 tons/acre[30]</t>
  </si>
  <si>
    <t>yield of non food biomass</t>
  </si>
  <si>
    <t>Carnot cycle efficiency</t>
  </si>
  <si>
    <t>Oats: grains – 1.4–5.4 tons/acre, straw – 1.9–3.2 tons/acre, total – 3.3–8.6 tons/acre[29]</t>
  </si>
  <si>
    <t>Chemical Energy</t>
  </si>
  <si>
    <t>area required</t>
  </si>
  <si>
    <t>Rye: grains – 2.1–2.4 tons/acre, straw – 2.4–3.4 tons/acre, total – 4.5–5.8 tons/acre[29]</t>
  </si>
  <si>
    <t>Ha</t>
  </si>
  <si>
    <t>Local production</t>
  </si>
  <si>
    <t>Wheat: grains – 1.2–4.1 tons/acre, straw – 1.6–3.8 tons/acre, total – 2.8–7.9 tons/acre[29]</t>
  </si>
  <si>
    <t>methane</t>
  </si>
  <si>
    <t>MJ/kg</t>
  </si>
  <si>
    <t>Flights for period</t>
  </si>
  <si>
    <t>lighting intensity average year</t>
  </si>
  <si>
    <t>Energy in methane</t>
  </si>
  <si>
    <t>this is a guess supposing high efficiency lighting and a daytime lighting only 12/24</t>
  </si>
  <si>
    <t>average lighting power</t>
  </si>
  <si>
    <t>Oil palm: fronds 11 ton/acre, whole fruit bunches 1 ton/acre, trunks 30 ton/acre</t>
  </si>
  <si>
    <t>Days</t>
  </si>
  <si>
    <t>MW</t>
  </si>
  <si>
    <t>seconds</t>
  </si>
  <si>
    <t>hours per year</t>
  </si>
  <si>
    <t>10% downtime for maintenance</t>
  </si>
  <si>
    <t>Energy per year</t>
  </si>
  <si>
    <t>Continuous power</t>
  </si>
  <si>
    <t>Hydrogen production energy</t>
  </si>
  <si>
    <t>mass of hydrogen</t>
  </si>
  <si>
    <t>Energy required</t>
  </si>
  <si>
    <t>Solar aray required</t>
  </si>
  <si>
    <t>Propellant</t>
  </si>
  <si>
    <t>Solar array mass</t>
  </si>
  <si>
    <t>t/day</t>
  </si>
  <si>
    <t>GJ/tonne</t>
  </si>
  <si>
    <t>Cost of food in energy</t>
  </si>
  <si>
    <t>cost per colonist</t>
  </si>
  <si>
    <t>Normal colony lighting</t>
  </si>
  <si>
    <t>8-12 W/m2</t>
  </si>
  <si>
    <t>ASHARE references</t>
  </si>
  <si>
    <t>Is is very likely that the lighting can produce all the heat required for the colony.</t>
  </si>
  <si>
    <t>Summary</t>
  </si>
  <si>
    <t>$ per year</t>
  </si>
  <si>
    <t>Solar power mass</t>
  </si>
  <si>
    <t>water, for humans and CH4</t>
  </si>
  <si>
    <t>Transportation</t>
  </si>
  <si>
    <t>Colony</t>
  </si>
  <si>
    <t>this is available for materials production</t>
  </si>
  <si>
    <t>Mining</t>
  </si>
  <si>
    <t>tonnes/year</t>
  </si>
  <si>
    <t>Food production</t>
  </si>
  <si>
    <t>Per colonist</t>
  </si>
  <si>
    <t>Total solar panel area</t>
  </si>
  <si>
    <t>hectares</t>
  </si>
  <si>
    <t>Nuclear option</t>
  </si>
  <si>
    <t>MWe</t>
  </si>
  <si>
    <t>vehicles</t>
  </si>
  <si>
    <t>kilopower reference</t>
  </si>
  <si>
    <t>kg/kWe</t>
  </si>
  <si>
    <t>10 kWe 229 kg</t>
  </si>
  <si>
    <t>Much lighter than solar</t>
  </si>
  <si>
    <t>7 W/kg</t>
  </si>
  <si>
    <t>Zubrin</t>
  </si>
  <si>
    <t>Area and volume</t>
  </si>
  <si>
    <t>tunnels</t>
  </si>
  <si>
    <t>Roads</t>
  </si>
  <si>
    <t>floors</t>
  </si>
  <si>
    <t>qty</t>
  </si>
  <si>
    <t>living</t>
  </si>
  <si>
    <t>Freight</t>
  </si>
  <si>
    <t>tons/year</t>
  </si>
  <si>
    <t>work and services</t>
  </si>
  <si>
    <t>transportation</t>
  </si>
  <si>
    <t>production</t>
  </si>
  <si>
    <t>food production</t>
  </si>
  <si>
    <t>accessory food production</t>
  </si>
  <si>
    <t>total flights per period</t>
  </si>
  <si>
    <t>Unit area</t>
  </si>
  <si>
    <t>m2/crew</t>
  </si>
  <si>
    <t>Total area</t>
  </si>
  <si>
    <t>tunnel width</t>
  </si>
  <si>
    <t>m3/week</t>
  </si>
  <si>
    <t>Australia, 8 x 14 tunnels</t>
  </si>
  <si>
    <t>second floor ratio</t>
  </si>
  <si>
    <t>critical design parameter</t>
  </si>
  <si>
    <t>m3/day</t>
  </si>
  <si>
    <t>tunnel length</t>
  </si>
  <si>
    <t>total flights</t>
  </si>
  <si>
    <t>m per day roadheader mtl</t>
  </si>
  <si>
    <t>m per day</t>
  </si>
  <si>
    <t>height</t>
  </si>
  <si>
    <t>face</t>
  </si>
  <si>
    <t>colony volume</t>
  </si>
  <si>
    <t>production roadheader(s)</t>
  </si>
  <si>
    <t>m3/h</t>
  </si>
  <si>
    <t>m3/y</t>
  </si>
  <si>
    <t>probably 2 required at this time</t>
  </si>
  <si>
    <t>m3/d</t>
  </si>
  <si>
    <t>BFs required</t>
  </si>
  <si>
    <t>y</t>
  </si>
  <si>
    <t>Tunnel atmospheric density</t>
  </si>
  <si>
    <t>Atmospheric mass</t>
  </si>
  <si>
    <t>Tunnel walls</t>
  </si>
  <si>
    <t>wall thickness</t>
  </si>
  <si>
    <t>wall volume</t>
  </si>
  <si>
    <t>wall mass</t>
  </si>
  <si>
    <t>sealant membrane thickness</t>
  </si>
  <si>
    <t>Energy production</t>
  </si>
  <si>
    <t>use cement as sealant? Grout</t>
  </si>
  <si>
    <t>Power requirements</t>
  </si>
  <si>
    <t>Density</t>
  </si>
  <si>
    <t>Cost of energy</t>
  </si>
  <si>
    <t>Production costs</t>
  </si>
  <si>
    <t>$/tonne</t>
  </si>
  <si>
    <t>Vs transport costs</t>
  </si>
  <si>
    <t>Water production</t>
  </si>
  <si>
    <t>Hydrogen production</t>
  </si>
  <si>
    <t>Propellant production (CH4)</t>
  </si>
  <si>
    <t>Average</t>
  </si>
  <si>
    <t>2*56+3*16</t>
  </si>
  <si>
    <t>112+22</t>
  </si>
  <si>
    <t>Cement production</t>
  </si>
  <si>
    <t>Compressed Earth Blocks</t>
  </si>
  <si>
    <t>Energy value</t>
  </si>
  <si>
    <t>5% cement by volume.</t>
  </si>
  <si>
    <t>Concrete</t>
  </si>
  <si>
    <t>http://www.tectonica-online.com/topics/energy/embodied-energy-materials-enrique-azpilicueta/table/31/</t>
  </si>
  <si>
    <t>Ceramics</t>
  </si>
  <si>
    <t>Glass production and forming</t>
  </si>
  <si>
    <t>https://www.eurotherm.com/efficient-future-for-the-glass-industry-is-all-electric</t>
  </si>
  <si>
    <t>Aluminium production and fabrication</t>
  </si>
  <si>
    <t>Iron smelting and forming</t>
  </si>
  <si>
    <t>http://large.stanford.edu/courses/2016/ph240/martelaro1/</t>
  </si>
  <si>
    <t>Hydrogen included</t>
  </si>
  <si>
    <t>Fe2O3 (Hematite, common)</t>
  </si>
  <si>
    <t>h2o</t>
  </si>
  <si>
    <t>Copper production and fabrication</t>
  </si>
  <si>
    <t>Can something be done with sulfuric acid?  Cooper sulfates on Mars?</t>
  </si>
  <si>
    <t>5240 kg/m3</t>
  </si>
  <si>
    <t>Oil from plancton</t>
  </si>
  <si>
    <t>Direct solar production</t>
  </si>
  <si>
    <t>Plastic production</t>
  </si>
  <si>
    <t>Includes oil from plancton</t>
  </si>
  <si>
    <t>Area</t>
  </si>
  <si>
    <t>Fiberglass, 50% resin, 50% fiber</t>
  </si>
  <si>
    <t>cost of glass x 2 for fiberglass+cost of plastic and algae</t>
  </si>
  <si>
    <t>Biomass from food production is practically free, mostly handling and transformation costs</t>
  </si>
  <si>
    <t>Tunnel wall heat exchange</t>
  </si>
  <si>
    <t>Q=AB(t4-t4)/((1/e1)+(1/e2)-1)</t>
  </si>
  <si>
    <t>T4</t>
  </si>
  <si>
    <t>km2</t>
  </si>
  <si>
    <t>e1</t>
  </si>
  <si>
    <t>e2</t>
  </si>
  <si>
    <t>Q</t>
  </si>
  <si>
    <t>mass solar power</t>
  </si>
  <si>
    <t>Thermal conduction</t>
  </si>
  <si>
    <t>Q=uadt</t>
  </si>
  <si>
    <t>T1</t>
  </si>
  <si>
    <t>T2</t>
  </si>
  <si>
    <t>thermal conductivity</t>
  </si>
  <si>
    <t>W/mK</t>
  </si>
  <si>
    <t>wall area</t>
  </si>
  <si>
    <t>total thermal loss</t>
  </si>
  <si>
    <t>Thermal inertia of tunnel</t>
  </si>
  <si>
    <t>Calculate the energy stored in the walls</t>
  </si>
  <si>
    <t>tunnel wall area</t>
  </si>
  <si>
    <t>tunnel wall density</t>
  </si>
  <si>
    <t>tunnel wall thickness</t>
  </si>
  <si>
    <t>tunnel wall volume</t>
  </si>
  <si>
    <t>tunnel wall mass</t>
  </si>
  <si>
    <t>specific heat</t>
  </si>
  <si>
    <t>KJ/kgC</t>
  </si>
  <si>
    <t>reference Oskam VF</t>
  </si>
  <si>
    <t>energy in wall per deg,C</t>
  </si>
  <si>
    <t>KJ/C</t>
  </si>
  <si>
    <t>Calculate energy loss per night</t>
  </si>
  <si>
    <t>8h</t>
  </si>
  <si>
    <t>energy loss</t>
  </si>
  <si>
    <t>KJ/night</t>
  </si>
  <si>
    <t>temperature drop during the night</t>
  </si>
  <si>
    <t>Colony at 1000 people</t>
  </si>
  <si>
    <t>Material from Earth</t>
  </si>
  <si>
    <t>mass (t)</t>
  </si>
  <si>
    <t>Solar arrays</t>
  </si>
  <si>
    <t>Hydrogen production from water</t>
  </si>
  <si>
    <t>Spliting water will produce hydrogen and oxygen</t>
  </si>
  <si>
    <t>In the Sabatier reaction part of the hydrogen will become water again, and will need to be split again to produce methane</t>
  </si>
  <si>
    <t>Electrolysis system</t>
  </si>
  <si>
    <t>Electrolysis</t>
  </si>
  <si>
    <t>2H2O&gt;2H2+O2</t>
  </si>
  <si>
    <t>Sabatier</t>
  </si>
  <si>
    <t>CO2+4H2=CH4+2H2O</t>
  </si>
  <si>
    <t>at 500C and high pressure, -167 kJ/mol exothermic</t>
  </si>
  <si>
    <t>Number of ship fuelled</t>
  </si>
  <si>
    <t>Sabatier reactors</t>
  </si>
  <si>
    <t>Habitat reinforcement</t>
  </si>
  <si>
    <t>Habitat sealant</t>
  </si>
  <si>
    <t>Mylar liner for greenhouses</t>
  </si>
  <si>
    <t>food (1 year)</t>
  </si>
  <si>
    <t>Roadheaders+supplies</t>
  </si>
  <si>
    <t>Ch4 propellant required</t>
  </si>
  <si>
    <t>Tunneling trucks</t>
  </si>
  <si>
    <t>Lining maker</t>
  </si>
  <si>
    <t>see BFS tab</t>
  </si>
  <si>
    <t>Crane</t>
  </si>
  <si>
    <t>production safety factor</t>
  </si>
  <si>
    <t>Flatbeds</t>
  </si>
  <si>
    <t>Exploration trucks</t>
  </si>
  <si>
    <t>remote explo trucks</t>
  </si>
  <si>
    <t>Digging and leveling</t>
  </si>
  <si>
    <t>Includes boil off losses and general production capacity</t>
  </si>
  <si>
    <t>Furnaces and printers</t>
  </si>
  <si>
    <t>Production required</t>
  </si>
  <si>
    <t>Water treatment plant</t>
  </si>
  <si>
    <t>Water distribution</t>
  </si>
  <si>
    <t>Sewage treatment</t>
  </si>
  <si>
    <t>Compressors</t>
  </si>
  <si>
    <t>Lights, LED</t>
  </si>
  <si>
    <t>Water by-product mass</t>
  </si>
  <si>
    <t>mass of CO2</t>
  </si>
  <si>
    <t>Clothing and personal items</t>
  </si>
  <si>
    <t>monitors and computers</t>
  </si>
  <si>
    <t>mass of ch4</t>
  </si>
  <si>
    <t>Servers and com</t>
  </si>
  <si>
    <t>mass of h2</t>
  </si>
  <si>
    <t>mass of h2O</t>
  </si>
  <si>
    <t>4.5 MW</t>
  </si>
  <si>
    <t>hydrogen required</t>
  </si>
  <si>
    <t>Total</t>
  </si>
  <si>
    <t>mass of water required</t>
  </si>
  <si>
    <t>water</t>
  </si>
  <si>
    <t>for latest year</t>
  </si>
  <si>
    <t>Mass of water-recycling</t>
  </si>
  <si>
    <t>This is the minumum amount of water that needs to be extracted from Martian soil or air</t>
  </si>
  <si>
    <t>As the reaction produces 50% of the total mass of initial water, reusing the byproduct water would reduce the water needed by 50%</t>
  </si>
  <si>
    <t>CO2 from Martian atmosphere</t>
  </si>
  <si>
    <t>Total ressources needed</t>
  </si>
  <si>
    <t>% of excavated rock</t>
  </si>
  <si>
    <t>oxygen</t>
  </si>
  <si>
    <t>CO2 + water</t>
  </si>
  <si>
    <t>Oxygen produced by electrolysis</t>
  </si>
  <si>
    <t>CH4</t>
  </si>
  <si>
    <t>Just what we need as oxydiser for the vehicle</t>
  </si>
  <si>
    <t>Electrical energy for electrolysis</t>
  </si>
  <si>
    <t>CO2</t>
  </si>
  <si>
    <t>https://en.wikipedia.org/wiki/Electrolysis_of_water#Industrial_output</t>
  </si>
  <si>
    <t>approximate efficiency</t>
  </si>
  <si>
    <t>Total energy</t>
  </si>
  <si>
    <t>Nitrogen production</t>
  </si>
  <si>
    <t>limiting factor</t>
  </si>
  <si>
    <t>Habitat mass</t>
  </si>
  <si>
    <t>Rejected energy and losses</t>
  </si>
  <si>
    <t>Specific energy of methane</t>
  </si>
  <si>
    <t>Excavated rock</t>
  </si>
  <si>
    <t>Energy rejected by Sabatier</t>
  </si>
  <si>
    <t>KJ/mol</t>
  </si>
  <si>
    <t>Osisko</t>
  </si>
  <si>
    <t>Energy rejected from Sabatier</t>
  </si>
  <si>
    <t>habitat atmosphere mass</t>
  </si>
  <si>
    <t>Energy rejected from electrolysis</t>
  </si>
  <si>
    <t>Total energy rejected as heat</t>
  </si>
  <si>
    <t>Piping</t>
  </si>
  <si>
    <t>1 inch</t>
  </si>
  <si>
    <t>Compression of Martian atmosphere</t>
  </si>
  <si>
    <t>Mars atmosphere composition</t>
  </si>
  <si>
    <t>2 inch</t>
  </si>
  <si>
    <t>4 inch</t>
  </si>
  <si>
    <t>https://nssdc.gsfc.nasa.gov/planetary/factsheet/marsfact.html</t>
  </si>
  <si>
    <t>Seee colony spreadsheet</t>
  </si>
  <si>
    <t>Boiling point 1 atm</t>
  </si>
  <si>
    <t>Specifi heat</t>
  </si>
  <si>
    <t>heat capacity ratio</t>
  </si>
  <si>
    <t>k</t>
  </si>
  <si>
    <t>J/kgK</t>
  </si>
  <si>
    <t>g/mol</t>
  </si>
  <si>
    <t>mass flow required</t>
  </si>
  <si>
    <t>kg/s</t>
  </si>
  <si>
    <t>for atmospheric compression</t>
  </si>
  <si>
    <t>Martian atmospheric density</t>
  </si>
  <si>
    <t>P1</t>
  </si>
  <si>
    <t>N2</t>
  </si>
  <si>
    <t>Earth atmospheric density</t>
  </si>
  <si>
    <t>P2</t>
  </si>
  <si>
    <t>Compresion ratio</t>
  </si>
  <si>
    <t>P2/P1</t>
  </si>
  <si>
    <t>Ar</t>
  </si>
  <si>
    <t>Specific heat ratio</t>
  </si>
  <si>
    <t>Water</t>
  </si>
  <si>
    <t>Temperature of Mars air</t>
  </si>
  <si>
    <t>Perfect gas constant</t>
  </si>
  <si>
    <t>Mass flow</t>
  </si>
  <si>
    <t>Algae production</t>
  </si>
  <si>
    <t>Big bags on surface</t>
  </si>
  <si>
    <t>efficiency</t>
  </si>
  <si>
    <t>mechanical efficiency of compressor</t>
  </si>
  <si>
    <t>Work</t>
  </si>
  <si>
    <t>Wc</t>
  </si>
  <si>
    <t>bag mass</t>
  </si>
  <si>
    <t>rate</t>
  </si>
  <si>
    <t xml:space="preserve">Algae production </t>
  </si>
  <si>
    <t>Earth</t>
  </si>
  <si>
    <t>kg/ha</t>
  </si>
  <si>
    <t>Work of compression</t>
  </si>
  <si>
    <t>Average MArtian atm temperature</t>
  </si>
  <si>
    <t>guess of 4 times less</t>
  </si>
  <si>
    <t>per year per bag</t>
  </si>
  <si>
    <t>cost of bag grown algae</t>
  </si>
  <si>
    <t>transport</t>
  </si>
  <si>
    <t>other costs</t>
  </si>
  <si>
    <t>Outlet temperature</t>
  </si>
  <si>
    <t>lifetime</t>
  </si>
  <si>
    <t>Cooling required W=mcpdt</t>
  </si>
  <si>
    <t>T2-T1</t>
  </si>
  <si>
    <t>Wr</t>
  </si>
  <si>
    <t xml:space="preserve">cooling to remove compression heat </t>
  </si>
  <si>
    <t>Total work done to compress</t>
  </si>
  <si>
    <t>less than transportation cost</t>
  </si>
  <si>
    <t>About 4 times less expensive than tunnel grown food</t>
  </si>
  <si>
    <t>Total energy rejected</t>
  </si>
  <si>
    <t>radiated without compression</t>
  </si>
  <si>
    <t>Liquefaction of Martian atmosphere for propellant production</t>
  </si>
  <si>
    <t>Mass flow rate</t>
  </si>
  <si>
    <t>Initial temperature</t>
  </si>
  <si>
    <t>final temperature</t>
  </si>
  <si>
    <t>T3</t>
  </si>
  <si>
    <t>might as well extract the nitrogen</t>
  </si>
  <si>
    <t>average specific heat</t>
  </si>
  <si>
    <t>Phase change Energy</t>
  </si>
  <si>
    <t>kJ</t>
  </si>
  <si>
    <t>very approximate</t>
  </si>
  <si>
    <t>Energy removed is sum cooling and phase change</t>
  </si>
  <si>
    <t>cooling</t>
  </si>
  <si>
    <t>W1</t>
  </si>
  <si>
    <t>KJ/s</t>
  </si>
  <si>
    <t>phase change</t>
  </si>
  <si>
    <t>W2</t>
  </si>
  <si>
    <t>W=W1+W2</t>
  </si>
  <si>
    <t>COP</t>
  </si>
  <si>
    <t>actual efficiency</t>
  </si>
  <si>
    <t>Losses in the cooling process</t>
  </si>
  <si>
    <t>Cooling power</t>
  </si>
  <si>
    <t>W Qc/COP</t>
  </si>
  <si>
    <t>Total liquefaction energy</t>
  </si>
  <si>
    <t>Total rejected energy</t>
  </si>
  <si>
    <t>Total fuel production energy</t>
  </si>
  <si>
    <t>Overall fuel production efficiency</t>
  </si>
  <si>
    <t>Fuel production equipment mass</t>
  </si>
  <si>
    <t>tonnes/ship</t>
  </si>
  <si>
    <t>kj/kg</t>
  </si>
  <si>
    <t>Low gravity whales and dolphin analogy</t>
  </si>
  <si>
    <t>Chinese breed mice in space</t>
  </si>
  <si>
    <t>Separer illmenite, 1 ou 2%, titane?  Faire ses propres tètes</t>
  </si>
  <si>
    <t>fer titane très dur, 5 a 10% titane</t>
  </si>
  <si>
    <t>Sépaparation magnétique du sable broyé</t>
  </si>
  <si>
    <t>Sable noir Fe2o3 eu Fe2o4</t>
  </si>
  <si>
    <t>Carbure et carbone</t>
  </si>
  <si>
    <t>Tungsten, beryllium, liquefier les metaux</t>
  </si>
  <si>
    <t>Thermite, melt oxydes , thermite welding</t>
  </si>
  <si>
    <t>Hydrothermal vents found on Mars, Zinc copper and nickel, platine and palladium</t>
  </si>
  <si>
    <t>Magmatic chambers and separation by gravity</t>
  </si>
  <si>
    <t>Sudbury mine blob creations</t>
  </si>
  <si>
    <t>Differentiation par cristallisation</t>
  </si>
  <si>
    <t>Biomass, production rates, wikipedia biomass</t>
  </si>
  <si>
    <t>Biomass from food production can be recycled in food production as substrate, biomethanised, or tranformed into oil for the plastics industry</t>
  </si>
  <si>
    <t>https://www.reddit.com/r/Colonizemars/comments/5gj2st/i_simulated_solar_irradiance_on_mars_at_various/</t>
  </si>
  <si>
    <t>day</t>
  </si>
  <si>
    <t>80° S</t>
  </si>
  <si>
    <t>60° S</t>
  </si>
  <si>
    <t>40° S</t>
  </si>
  <si>
    <t>20° S</t>
  </si>
  <si>
    <t>0° N</t>
  </si>
  <si>
    <t>20° N</t>
  </si>
  <si>
    <t>40° N</t>
  </si>
  <si>
    <t>60° N</t>
  </si>
  <si>
    <t>80° 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</si>
</sst>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"/>
    <numFmt numFmtId="165" formatCode="0.0000"/>
    <numFmt numFmtId="166" formatCode="#,##0\ [$$-C0C]"/>
    <numFmt numFmtId="167" formatCode="#,##0.0"/>
    <numFmt numFmtId="168" formatCode="0.0%"/>
    <numFmt numFmtId="169" formatCode="m.d"/>
  </numFmts>
  <fonts count="17">
    <font>
      <sz val="10.0"/>
      <color rgb="FF000000"/>
      <name val="Arial"/>
    </font>
    <font>
      <b/>
    </font>
    <font/>
    <font>
      <sz val="8.0"/>
      <color rgb="FF000000"/>
      <name val="Arial"/>
    </font>
    <font>
      <color rgb="FF000000"/>
      <name val="Roboto"/>
    </font>
    <font>
      <u/>
      <color rgb="FF0000FF"/>
    </font>
    <font>
      <b/>
      <sz val="10.0"/>
      <color rgb="FF000000"/>
      <name val="Arial"/>
    </font>
    <font>
      <name val="Arial"/>
    </font>
    <font>
      <sz val="10.0"/>
      <name val="Arial"/>
    </font>
    <font>
      <b/>
      <sz val="10.0"/>
      <name val="Arial"/>
    </font>
    <font>
      <b/>
      <name val="Arial"/>
    </font>
    <font>
      <u/>
      <sz val="8.0"/>
      <color rgb="FF0B0080"/>
      <name val="Sans-serif"/>
    </font>
    <font>
      <color rgb="FF54595D"/>
      <name val="Sans-serif"/>
    </font>
    <font>
      <sz val="11.0"/>
      <color rgb="FF222222"/>
      <name val="Sans-serif"/>
    </font>
    <font>
      <b/>
      <sz val="12.0"/>
    </font>
    <font>
      <u/>
      <color rgb="FF0000FF"/>
    </font>
    <font>
      <i/>
    </font>
  </fonts>
  <fills count="10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45F06"/>
        <bgColor rgb="FFB45F06"/>
      </patternFill>
    </fill>
    <fill>
      <patternFill patternType="solid">
        <fgColor rgb="FF4A86E8"/>
        <bgColor rgb="FF4A86E8"/>
      </patternFill>
    </fill>
    <fill>
      <patternFill patternType="solid">
        <fgColor rgb="FFD0E0E3"/>
        <bgColor rgb="FFD0E0E3"/>
      </patternFill>
    </fill>
    <fill>
      <patternFill patternType="solid">
        <fgColor rgb="FFCCFFCC"/>
        <bgColor rgb="FFCCFFCC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 style="thin">
        <color rgb="FF000000"/>
      </lef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right/>
    </border>
    <border>
      <left style="thin">
        <color rgb="FF000000"/>
      </left>
      <right/>
    </border>
    <border>
      <left/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bottom style="medium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0" fontId="3" numFmtId="0" xfId="0" applyFont="1"/>
    <xf borderId="0" fillId="2" fontId="2" numFmtId="0" xfId="0" applyFont="1"/>
    <xf borderId="0" fillId="0" fontId="3" numFmtId="0" xfId="0" applyFont="1"/>
    <xf borderId="0" fillId="3" fontId="2" numFmtId="0" xfId="0" applyAlignment="1" applyFill="1" applyFont="1">
      <alignment readingOrder="0"/>
    </xf>
    <xf borderId="0" fillId="4" fontId="4" numFmtId="0" xfId="0" applyAlignment="1" applyFill="1" applyFont="1">
      <alignment readingOrder="0"/>
    </xf>
    <xf borderId="0" fillId="0" fontId="2" numFmtId="9" xfId="0" applyAlignment="1" applyFont="1" applyNumberFormat="1">
      <alignment readingOrder="0"/>
    </xf>
    <xf borderId="0" fillId="0" fontId="5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2" numFmtId="1" xfId="0" applyFont="1" applyNumberFormat="1"/>
    <xf borderId="0" fillId="5" fontId="2" numFmtId="0" xfId="0" applyAlignment="1" applyFill="1" applyFont="1">
      <alignment readingOrder="0"/>
    </xf>
    <xf borderId="0" fillId="5" fontId="2" numFmtId="1" xfId="0" applyFont="1" applyNumberFormat="1"/>
    <xf borderId="0" fillId="5" fontId="2" numFmtId="0" xfId="0" applyFont="1"/>
    <xf borderId="1" fillId="6" fontId="2" numFmtId="0" xfId="0" applyBorder="1" applyFill="1" applyFont="1"/>
    <xf borderId="2" fillId="6" fontId="2" numFmtId="0" xfId="0" applyBorder="1" applyFont="1"/>
    <xf borderId="3" fillId="6" fontId="2" numFmtId="0" xfId="0" applyBorder="1" applyFont="1"/>
    <xf borderId="4" fillId="6" fontId="2" numFmtId="0" xfId="0" applyBorder="1" applyFont="1"/>
    <xf borderId="5" fillId="6" fontId="2" numFmtId="0" xfId="0" applyBorder="1" applyFont="1"/>
    <xf borderId="6" fillId="6" fontId="2" numFmtId="0" xfId="0" applyBorder="1" applyFont="1"/>
    <xf borderId="0" fillId="5" fontId="2" numFmtId="164" xfId="0" applyFont="1" applyNumberFormat="1"/>
    <xf borderId="0" fillId="7" fontId="2" numFmtId="0" xfId="0" applyFill="1" applyFont="1"/>
    <xf borderId="5" fillId="0" fontId="2" numFmtId="0" xfId="0" applyAlignment="1" applyBorder="1" applyFont="1">
      <alignment readingOrder="0"/>
    </xf>
    <xf borderId="5" fillId="0" fontId="2" numFmtId="0" xfId="0" applyBorder="1" applyFont="1"/>
    <xf borderId="0" fillId="0" fontId="2" numFmtId="164" xfId="0" applyFont="1" applyNumberFormat="1"/>
    <xf borderId="0" fillId="0" fontId="1" numFmtId="0" xfId="0" applyFont="1"/>
    <xf borderId="0" fillId="0" fontId="2" numFmtId="1" xfId="0" applyAlignment="1" applyFont="1" applyNumberFormat="1">
      <alignment readingOrder="0"/>
    </xf>
    <xf borderId="0" fillId="5" fontId="1" numFmtId="0" xfId="0" applyFont="1"/>
    <xf borderId="7" fillId="0" fontId="2" numFmtId="0" xfId="0" applyBorder="1" applyFont="1"/>
    <xf borderId="0" fillId="0" fontId="2" numFmtId="2" xfId="0" applyFont="1" applyNumberFormat="1"/>
    <xf borderId="0" fillId="0" fontId="2" numFmtId="165" xfId="0" applyFont="1" applyNumberFormat="1"/>
    <xf borderId="8" fillId="8" fontId="1" numFmtId="0" xfId="0" applyAlignment="1" applyBorder="1" applyFill="1" applyFont="1">
      <alignment readingOrder="0"/>
    </xf>
    <xf borderId="9" fillId="8" fontId="1" numFmtId="0" xfId="0" applyBorder="1" applyFont="1"/>
    <xf borderId="0" fillId="0" fontId="2" numFmtId="2" xfId="0" applyAlignment="1" applyFont="1" applyNumberFormat="1">
      <alignment readingOrder="0"/>
    </xf>
    <xf borderId="9" fillId="8" fontId="1" numFmtId="0" xfId="0" applyAlignment="1" applyBorder="1" applyFont="1">
      <alignment readingOrder="0"/>
    </xf>
    <xf borderId="10" fillId="8" fontId="1" numFmtId="1" xfId="0" applyBorder="1" applyFont="1" applyNumberFormat="1"/>
    <xf borderId="7" fillId="0" fontId="1" numFmtId="0" xfId="0" applyAlignment="1" applyBorder="1" applyFont="1">
      <alignment readingOrder="0"/>
    </xf>
    <xf borderId="0" fillId="0" fontId="2" numFmtId="9" xfId="0" applyFont="1" applyNumberFormat="1"/>
    <xf borderId="0" fillId="5" fontId="1" numFmtId="1" xfId="0" applyFont="1" applyNumberFormat="1"/>
    <xf borderId="0" fillId="0" fontId="2" numFmtId="3" xfId="0" applyFont="1" applyNumberFormat="1"/>
    <xf borderId="0" fillId="0" fontId="2" numFmtId="166" xfId="0" applyFont="1" applyNumberFormat="1"/>
    <xf borderId="7" fillId="0" fontId="2" numFmtId="0" xfId="0" applyAlignment="1" applyBorder="1" applyFont="1">
      <alignment readingOrder="0"/>
    </xf>
    <xf borderId="0" fillId="5" fontId="2" numFmtId="164" xfId="0" applyAlignment="1" applyFont="1" applyNumberFormat="1">
      <alignment readingOrder="0"/>
    </xf>
    <xf borderId="0" fillId="5" fontId="1" numFmtId="0" xfId="0" applyAlignment="1" applyFont="1">
      <alignment readingOrder="0"/>
    </xf>
    <xf borderId="0" fillId="5" fontId="1" numFmtId="164" xfId="0" applyFont="1" applyNumberFormat="1"/>
    <xf borderId="1" fillId="0" fontId="6" numFmtId="0" xfId="0" applyAlignment="1" applyBorder="1" applyFont="1">
      <alignment readingOrder="0" shrinkToFit="0" wrapText="1"/>
    </xf>
    <xf borderId="2" fillId="0" fontId="0" numFmtId="0" xfId="0" applyAlignment="1" applyBorder="1" applyFont="1">
      <alignment shrinkToFit="0" wrapText="1"/>
    </xf>
    <xf borderId="0" fillId="0" fontId="7" numFmtId="0" xfId="0" applyAlignment="1" applyFont="1">
      <alignment vertical="bottom"/>
    </xf>
    <xf borderId="2" fillId="9" fontId="0" numFmtId="0" xfId="0" applyAlignment="1" applyBorder="1" applyFill="1" applyFont="1">
      <alignment horizontal="center" readingOrder="0" shrinkToFit="0" wrapText="1"/>
    </xf>
    <xf borderId="0" fillId="0" fontId="7" numFmtId="0" xfId="0" applyAlignment="1" applyFont="1">
      <alignment shrinkToFit="0" vertical="bottom" wrapText="0"/>
    </xf>
    <xf borderId="0" fillId="0" fontId="0" numFmtId="0" xfId="0" applyAlignment="1" applyFont="1">
      <alignment horizontal="center" readingOrder="0" shrinkToFit="0" wrapText="1"/>
    </xf>
    <xf borderId="4" fillId="0" fontId="6" numFmtId="0" xfId="0" applyAlignment="1" applyBorder="1" applyFont="1">
      <alignment shrinkToFit="0" wrapText="0"/>
    </xf>
    <xf borderId="5" fillId="0" fontId="0" numFmtId="0" xfId="0" applyAlignment="1" applyBorder="1" applyFont="1">
      <alignment shrinkToFit="0" wrapText="1"/>
    </xf>
    <xf borderId="11" fillId="9" fontId="0" numFmtId="3" xfId="0" applyAlignment="1" applyBorder="1" applyFont="1" applyNumberFormat="1">
      <alignment horizontal="center" shrinkToFit="0" wrapText="0"/>
    </xf>
    <xf borderId="0" fillId="0" fontId="7" numFmtId="0" xfId="0" applyAlignment="1" applyFont="1">
      <alignment readingOrder="0" shrinkToFit="0" vertical="bottom" wrapText="0"/>
    </xf>
    <xf borderId="0" fillId="0" fontId="0" numFmtId="3" xfId="0" applyAlignment="1" applyFont="1" applyNumberFormat="1">
      <alignment horizontal="center" shrinkToFit="0" wrapText="0"/>
    </xf>
    <xf borderId="12" fillId="0" fontId="0" numFmtId="0" xfId="0" applyAlignment="1" applyBorder="1" applyFont="1">
      <alignment readingOrder="0" shrinkToFit="0" wrapText="0"/>
    </xf>
    <xf borderId="0" fillId="0" fontId="0" numFmtId="0" xfId="0" applyAlignment="1" applyFont="1">
      <alignment readingOrder="0" shrinkToFit="0" wrapText="1"/>
    </xf>
    <xf borderId="8" fillId="0" fontId="2" numFmtId="0" xfId="0" applyAlignment="1" applyBorder="1" applyFont="1">
      <alignment readingOrder="0"/>
    </xf>
    <xf borderId="0" fillId="0" fontId="0" numFmtId="0" xfId="0" applyAlignment="1" applyFont="1">
      <alignment shrinkToFit="0" wrapText="0"/>
    </xf>
    <xf borderId="9" fillId="0" fontId="2" numFmtId="3" xfId="0" applyAlignment="1" applyBorder="1" applyFont="1" applyNumberFormat="1">
      <alignment readingOrder="0"/>
    </xf>
    <xf borderId="2" fillId="0" fontId="0" numFmtId="3" xfId="0" applyAlignment="1" applyBorder="1" applyFont="1" applyNumberFormat="1">
      <alignment horizontal="center" readingOrder="0" shrinkToFit="0" wrapText="0"/>
    </xf>
    <xf borderId="9" fillId="0" fontId="2" numFmtId="3" xfId="0" applyBorder="1" applyFont="1" applyNumberFormat="1"/>
    <xf borderId="7" fillId="0" fontId="2" numFmtId="1" xfId="0" applyAlignment="1" applyBorder="1" applyFont="1" applyNumberFormat="1">
      <alignment readingOrder="0"/>
    </xf>
    <xf borderId="10" fillId="0" fontId="2" numFmtId="167" xfId="0" applyBorder="1" applyFont="1" applyNumberFormat="1"/>
    <xf borderId="0" fillId="0" fontId="0" numFmtId="3" xfId="0" applyAlignment="1" applyFont="1" applyNumberFormat="1">
      <alignment horizontal="center" readingOrder="0" shrinkToFit="0" wrapText="0"/>
    </xf>
    <xf borderId="12" fillId="0" fontId="0" numFmtId="0" xfId="0" applyAlignment="1" applyBorder="1" applyFont="1">
      <alignment readingOrder="0" shrinkToFit="0" wrapText="1"/>
    </xf>
    <xf borderId="0" fillId="0" fontId="8" numFmtId="0" xfId="0" applyAlignment="1" applyFont="1">
      <alignment readingOrder="0" shrinkToFit="0" wrapText="1"/>
    </xf>
    <xf borderId="0" fillId="0" fontId="2" numFmtId="164" xfId="0" applyAlignment="1" applyFont="1" applyNumberFormat="1">
      <alignment readingOrder="0"/>
    </xf>
    <xf borderId="0" fillId="0" fontId="8" numFmtId="0" xfId="0" applyAlignment="1" applyFont="1">
      <alignment shrinkToFit="0" wrapText="1"/>
    </xf>
    <xf borderId="0" fillId="0" fontId="0" numFmtId="0" xfId="0" applyAlignment="1" applyFont="1">
      <alignment horizontal="center" readingOrder="0" shrinkToFit="0" wrapText="0"/>
    </xf>
    <xf borderId="1" fillId="0" fontId="2" numFmtId="0" xfId="0" applyAlignment="1" applyBorder="1" applyFont="1">
      <alignment readingOrder="0"/>
    </xf>
    <xf borderId="13" fillId="0" fontId="2" numFmtId="0" xfId="0" applyAlignment="1" applyBorder="1" applyFont="1">
      <alignment readingOrder="0"/>
    </xf>
    <xf borderId="0" fillId="9" fontId="8" numFmtId="1" xfId="0" applyAlignment="1" applyFont="1" applyNumberFormat="1">
      <alignment horizontal="center" shrinkToFit="0" wrapText="1"/>
    </xf>
    <xf borderId="0" fillId="0" fontId="8" numFmtId="3" xfId="0" applyAlignment="1" applyFont="1" applyNumberFormat="1">
      <alignment horizontal="center" shrinkToFit="0" wrapText="1"/>
    </xf>
    <xf borderId="12" fillId="5" fontId="2" numFmtId="0" xfId="0" applyBorder="1" applyFont="1"/>
    <xf borderId="0" fillId="9" fontId="0" numFmtId="3" xfId="0" applyAlignment="1" applyFont="1" applyNumberFormat="1">
      <alignment horizontal="center" shrinkToFit="0" wrapText="0"/>
    </xf>
    <xf borderId="14" fillId="5" fontId="2" numFmtId="0" xfId="0" applyBorder="1" applyFont="1"/>
    <xf borderId="12" fillId="0" fontId="0" numFmtId="0" xfId="0" applyAlignment="1" applyBorder="1" applyFont="1">
      <alignment shrinkToFit="0" wrapText="0"/>
    </xf>
    <xf borderId="0" fillId="0" fontId="0" numFmtId="1" xfId="0" applyAlignment="1" applyFont="1" applyNumberFormat="1">
      <alignment horizontal="center" readingOrder="0" shrinkToFit="0" wrapText="0"/>
    </xf>
    <xf borderId="0" fillId="0" fontId="0" numFmtId="0" xfId="0" applyAlignment="1" applyFont="1">
      <alignment shrinkToFit="0" wrapText="1"/>
    </xf>
    <xf borderId="0" fillId="0" fontId="0" numFmtId="2" xfId="0" applyAlignment="1" applyFont="1" applyNumberFormat="1">
      <alignment horizontal="center" readingOrder="0" shrinkToFit="0" wrapText="0"/>
    </xf>
    <xf borderId="0" fillId="0" fontId="0" numFmtId="2" xfId="0" applyAlignment="1" applyFont="1" applyNumberFormat="1">
      <alignment horizontal="center" shrinkToFit="0" wrapText="0"/>
    </xf>
    <xf borderId="0" fillId="0" fontId="0" numFmtId="3" xfId="0" applyAlignment="1" applyFont="1" applyNumberFormat="1">
      <alignment readingOrder="0" shrinkToFit="0" wrapText="0"/>
    </xf>
    <xf borderId="12" fillId="0" fontId="2" numFmtId="0" xfId="0" applyBorder="1" applyFont="1"/>
    <xf borderId="0" fillId="9" fontId="0" numFmtId="1" xfId="0" applyAlignment="1" applyFont="1" applyNumberFormat="1">
      <alignment horizontal="center" shrinkToFit="0" wrapText="0"/>
    </xf>
    <xf borderId="14" fillId="0" fontId="2" numFmtId="0" xfId="0" applyBorder="1" applyFont="1"/>
    <xf borderId="0" fillId="0" fontId="0" numFmtId="1" xfId="0" applyAlignment="1" applyFont="1" applyNumberFormat="1">
      <alignment horizontal="center" shrinkToFit="0" wrapText="0"/>
    </xf>
    <xf borderId="12" fillId="0" fontId="2" numFmtId="0" xfId="0" applyAlignment="1" applyBorder="1" applyFont="1">
      <alignment readingOrder="0"/>
    </xf>
    <xf borderId="0" fillId="0" fontId="8" numFmtId="1" xfId="0" applyAlignment="1" applyFont="1" applyNumberFormat="1">
      <alignment readingOrder="0" shrinkToFit="0" wrapText="1"/>
    </xf>
    <xf borderId="14" fillId="0" fontId="2" numFmtId="0" xfId="0" applyAlignment="1" applyBorder="1" applyFont="1">
      <alignment readingOrder="0"/>
    </xf>
    <xf borderId="4" fillId="0" fontId="0" numFmtId="0" xfId="0" applyAlignment="1" applyBorder="1" applyFont="1">
      <alignment shrinkToFit="0" wrapText="0"/>
    </xf>
    <xf borderId="5" fillId="0" fontId="8" numFmtId="1" xfId="0" applyAlignment="1" applyBorder="1" applyFont="1" applyNumberFormat="1">
      <alignment readingOrder="0" shrinkToFit="0" wrapText="1"/>
    </xf>
    <xf borderId="14" fillId="0" fontId="2" numFmtId="164" xfId="0" applyAlignment="1" applyBorder="1" applyFont="1" applyNumberFormat="1">
      <alignment readingOrder="0"/>
    </xf>
    <xf borderId="5" fillId="0" fontId="0" numFmtId="0" xfId="0" applyAlignment="1" applyBorder="1" applyFont="1">
      <alignment shrinkToFit="0" wrapText="0"/>
    </xf>
    <xf borderId="5" fillId="0" fontId="2" numFmtId="166" xfId="0" applyBorder="1" applyFont="1" applyNumberFormat="1"/>
    <xf borderId="5" fillId="9" fontId="0" numFmtId="1" xfId="0" applyAlignment="1" applyBorder="1" applyFont="1" applyNumberFormat="1">
      <alignment horizontal="center" shrinkToFit="0" wrapText="0"/>
    </xf>
    <xf borderId="5" fillId="0" fontId="9" numFmtId="164" xfId="0" applyAlignment="1" applyBorder="1" applyFont="1" applyNumberFormat="1">
      <alignment readingOrder="0" shrinkToFit="0" wrapText="1"/>
    </xf>
    <xf borderId="5" fillId="0" fontId="6" numFmtId="0" xfId="0" applyAlignment="1" applyBorder="1" applyFont="1">
      <alignment shrinkToFit="0" wrapText="0"/>
    </xf>
    <xf borderId="0" fillId="5" fontId="2" numFmtId="3" xfId="0" applyAlignment="1" applyFont="1" applyNumberFormat="1">
      <alignment readingOrder="0"/>
    </xf>
    <xf borderId="5" fillId="9" fontId="6" numFmtId="1" xfId="0" applyAlignment="1" applyBorder="1" applyFont="1" applyNumberFormat="1">
      <alignment horizontal="center" shrinkToFit="0" wrapText="0"/>
    </xf>
    <xf borderId="0" fillId="0" fontId="10" numFmtId="0" xfId="0" applyAlignment="1" applyFont="1">
      <alignment readingOrder="0" shrinkToFit="0" vertical="bottom" wrapText="0"/>
    </xf>
    <xf borderId="0" fillId="0" fontId="6" numFmtId="1" xfId="0" applyAlignment="1" applyFont="1" applyNumberFormat="1">
      <alignment horizontal="center" shrinkToFit="0" wrapText="0"/>
    </xf>
    <xf borderId="14" fillId="5" fontId="2" numFmtId="3" xfId="0" applyAlignment="1" applyBorder="1" applyFont="1" applyNumberFormat="1">
      <alignment readingOrder="0"/>
    </xf>
    <xf borderId="0" fillId="9" fontId="0" numFmtId="168" xfId="0" applyAlignment="1" applyFont="1" applyNumberFormat="1">
      <alignment horizontal="center" shrinkToFit="0" wrapText="0"/>
    </xf>
    <xf borderId="0" fillId="0" fontId="0" numFmtId="168" xfId="0" applyAlignment="1" applyFont="1" applyNumberFormat="1">
      <alignment horizontal="center" shrinkToFit="0" wrapText="0"/>
    </xf>
    <xf borderId="0" fillId="0" fontId="7" numFmtId="166" xfId="0" applyAlignment="1" applyFont="1" applyNumberFormat="1">
      <alignment vertical="bottom"/>
    </xf>
    <xf borderId="0" fillId="0" fontId="7" numFmtId="0" xfId="0" applyAlignment="1" applyFont="1">
      <alignment horizontal="center" vertical="bottom"/>
    </xf>
    <xf borderId="5" fillId="9" fontId="8" numFmtId="2" xfId="0" applyAlignment="1" applyBorder="1" applyFont="1" applyNumberFormat="1">
      <alignment horizontal="center" shrinkToFit="0" wrapText="0"/>
    </xf>
    <xf borderId="0" fillId="5" fontId="1" numFmtId="3" xfId="0" applyAlignment="1" applyFont="1" applyNumberFormat="1">
      <alignment readingOrder="0"/>
    </xf>
    <xf borderId="0" fillId="0" fontId="8" numFmtId="2" xfId="0" applyAlignment="1" applyFont="1" applyNumberFormat="1">
      <alignment horizontal="center" shrinkToFit="0" wrapText="0"/>
    </xf>
    <xf borderId="0" fillId="0" fontId="0" numFmtId="9" xfId="0" applyAlignment="1" applyFont="1" applyNumberFormat="1">
      <alignment horizontal="center" readingOrder="0" shrinkToFit="0" wrapText="0"/>
    </xf>
    <xf borderId="15" fillId="2" fontId="10" numFmtId="0" xfId="0" applyAlignment="1" applyBorder="1" applyFont="1">
      <alignment readingOrder="0" shrinkToFit="0" vertical="bottom" wrapText="0"/>
    </xf>
    <xf borderId="0" fillId="0" fontId="0" numFmtId="0" xfId="0" applyAlignment="1" applyFont="1">
      <alignment horizontal="center" shrinkToFit="0" wrapText="0"/>
    </xf>
    <xf borderId="15" fillId="2" fontId="7" numFmtId="0" xfId="0" applyAlignment="1" applyBorder="1" applyFont="1">
      <alignment vertical="bottom"/>
    </xf>
    <xf borderId="0" fillId="2" fontId="7" numFmtId="0" xfId="0" applyAlignment="1" applyFont="1">
      <alignment vertical="bottom"/>
    </xf>
    <xf borderId="14" fillId="5" fontId="1" numFmtId="3" xfId="0" applyAlignment="1" applyBorder="1" applyFont="1" applyNumberFormat="1">
      <alignment readingOrder="0"/>
    </xf>
    <xf borderId="0" fillId="2" fontId="7" numFmtId="0" xfId="0" applyAlignment="1" applyFont="1">
      <alignment horizontal="center" vertical="bottom"/>
    </xf>
    <xf borderId="16" fillId="0" fontId="7" numFmtId="0" xfId="0" applyAlignment="1" applyBorder="1" applyFont="1">
      <alignment shrinkToFit="0" vertical="bottom" wrapText="0"/>
    </xf>
    <xf borderId="17" fillId="9" fontId="0" numFmtId="1" xfId="0" applyAlignment="1" applyBorder="1" applyFont="1" applyNumberFormat="1">
      <alignment horizontal="center" shrinkToFit="0" wrapText="0"/>
    </xf>
    <xf borderId="0" fillId="5" fontId="2" numFmtId="1" xfId="0" applyAlignment="1" applyFont="1" applyNumberFormat="1">
      <alignment readingOrder="0"/>
    </xf>
    <xf borderId="0" fillId="0" fontId="0" numFmtId="0" xfId="0" applyAlignment="1" applyFont="1">
      <alignment readingOrder="0" shrinkToFit="0" wrapText="0"/>
    </xf>
    <xf borderId="0" fillId="0" fontId="7" numFmtId="0" xfId="0" applyAlignment="1" applyFont="1">
      <alignment horizontal="center" readingOrder="0" vertical="bottom"/>
    </xf>
    <xf borderId="12" fillId="0" fontId="7" numFmtId="0" xfId="0" applyAlignment="1" applyBorder="1" applyFont="1">
      <alignment horizontal="right" vertical="bottom"/>
    </xf>
    <xf borderId="17" fillId="9" fontId="0" numFmtId="164" xfId="0" applyAlignment="1" applyBorder="1" applyFont="1" applyNumberFormat="1">
      <alignment horizontal="center" shrinkToFit="0" wrapText="0"/>
    </xf>
    <xf borderId="0" fillId="5" fontId="2" numFmtId="3" xfId="0" applyFont="1" applyNumberFormat="1"/>
    <xf borderId="0" fillId="0" fontId="0" numFmtId="164" xfId="0" applyAlignment="1" applyFont="1" applyNumberFormat="1">
      <alignment horizontal="center" shrinkToFit="0" wrapText="0"/>
    </xf>
    <xf borderId="15" fillId="0" fontId="7" numFmtId="0" xfId="0" applyAlignment="1" applyBorder="1" applyFont="1">
      <alignment shrinkToFit="0" vertical="bottom" wrapText="0"/>
    </xf>
    <xf borderId="12" fillId="5" fontId="2" numFmtId="3" xfId="0" applyBorder="1" applyFont="1" applyNumberFormat="1"/>
    <xf borderId="0" fillId="0" fontId="7" numFmtId="0" xfId="0" applyAlignment="1" applyFont="1">
      <alignment readingOrder="0" vertical="bottom"/>
    </xf>
    <xf borderId="14" fillId="5" fontId="2" numFmtId="3" xfId="0" applyBorder="1" applyFont="1" applyNumberFormat="1"/>
    <xf borderId="0" fillId="0" fontId="0" numFmtId="164" xfId="0" applyAlignment="1" applyFont="1" applyNumberFormat="1">
      <alignment horizontal="center" readingOrder="0" shrinkToFit="0" wrapText="0"/>
    </xf>
    <xf borderId="7" fillId="0" fontId="10" numFmtId="3" xfId="0" applyAlignment="1" applyBorder="1" applyFont="1" applyNumberFormat="1">
      <alignment horizontal="center" readingOrder="0" vertical="bottom"/>
    </xf>
    <xf borderId="2" fillId="0" fontId="6" numFmtId="0" xfId="0" applyAlignment="1" applyBorder="1" applyFont="1">
      <alignment shrinkToFit="0" wrapText="0"/>
    </xf>
    <xf borderId="7" fillId="0" fontId="7" numFmtId="4" xfId="0" applyAlignment="1" applyBorder="1" applyFont="1" applyNumberFormat="1">
      <alignment horizontal="center" vertical="bottom"/>
    </xf>
    <xf borderId="2" fillId="0" fontId="9" numFmtId="0" xfId="0" applyAlignment="1" applyBorder="1" applyFont="1">
      <alignment shrinkToFit="0" wrapText="1"/>
    </xf>
    <xf borderId="0" fillId="5" fontId="7" numFmtId="1" xfId="0" applyAlignment="1" applyFont="1" applyNumberFormat="1">
      <alignment horizontal="center" vertical="bottom"/>
    </xf>
    <xf borderId="0" fillId="5" fontId="7" numFmtId="0" xfId="0" applyAlignment="1" applyFont="1">
      <alignment horizontal="center" vertical="bottom"/>
    </xf>
    <xf borderId="18" fillId="9" fontId="6" numFmtId="164" xfId="0" applyAlignment="1" applyBorder="1" applyFont="1" applyNumberFormat="1">
      <alignment horizontal="center" shrinkToFit="0" wrapText="0"/>
    </xf>
    <xf borderId="5" fillId="0" fontId="7" numFmtId="0" xfId="0" applyAlignment="1" applyBorder="1" applyFont="1">
      <alignment vertical="bottom"/>
    </xf>
    <xf borderId="0" fillId="0" fontId="6" numFmtId="164" xfId="0" applyAlignment="1" applyFont="1" applyNumberFormat="1">
      <alignment horizontal="center" shrinkToFit="0" wrapText="0"/>
    </xf>
    <xf borderId="5" fillId="4" fontId="6" numFmtId="0" xfId="0" applyAlignment="1" applyBorder="1" applyFont="1">
      <alignment shrinkToFit="0" wrapText="0"/>
    </xf>
    <xf borderId="5" fillId="4" fontId="0" numFmtId="0" xfId="0" applyAlignment="1" applyBorder="1" applyFont="1">
      <alignment readingOrder="0" shrinkToFit="0" wrapText="1"/>
    </xf>
    <xf borderId="0" fillId="5" fontId="7" numFmtId="2" xfId="0" applyAlignment="1" applyFont="1" applyNumberFormat="1">
      <alignment horizontal="center" vertical="bottom"/>
    </xf>
    <xf borderId="5" fillId="9" fontId="0" numFmtId="0" xfId="0" applyAlignment="1" applyBorder="1" applyFont="1">
      <alignment shrinkToFit="0" wrapText="1"/>
    </xf>
    <xf borderId="0" fillId="0" fontId="6" numFmtId="0" xfId="0" applyAlignment="1" applyFont="1">
      <alignment horizontal="center" shrinkToFit="0" wrapText="1"/>
    </xf>
    <xf borderId="0" fillId="4" fontId="6" numFmtId="0" xfId="0" applyAlignment="1" applyFont="1">
      <alignment shrinkToFit="0" wrapText="0"/>
    </xf>
    <xf borderId="4" fillId="0" fontId="7" numFmtId="0" xfId="0" applyAlignment="1" applyBorder="1" applyFont="1">
      <alignment horizontal="right" vertical="bottom"/>
    </xf>
    <xf borderId="0" fillId="4" fontId="0" numFmtId="0" xfId="0" applyAlignment="1" applyFont="1">
      <alignment shrinkToFit="0" wrapText="1"/>
    </xf>
    <xf borderId="0" fillId="9" fontId="0" numFmtId="0" xfId="0" applyAlignment="1" applyFont="1">
      <alignment shrinkToFit="0" wrapText="1"/>
    </xf>
    <xf borderId="17" fillId="0" fontId="0" numFmtId="0" xfId="0" applyAlignment="1" applyBorder="1" applyFont="1">
      <alignment horizontal="center" readingOrder="0" shrinkToFit="0" wrapText="0"/>
    </xf>
    <xf borderId="0" fillId="0" fontId="2" numFmtId="3" xfId="0" applyAlignment="1" applyFont="1" applyNumberFormat="1">
      <alignment readingOrder="0"/>
    </xf>
    <xf borderId="5" fillId="0" fontId="8" numFmtId="0" xfId="0" applyAlignment="1" applyBorder="1" applyFont="1">
      <alignment shrinkToFit="0" wrapText="1"/>
    </xf>
    <xf borderId="14" fillId="0" fontId="2" numFmtId="3" xfId="0" applyAlignment="1" applyBorder="1" applyFont="1" applyNumberFormat="1">
      <alignment readingOrder="0"/>
    </xf>
    <xf borderId="7" fillId="0" fontId="7" numFmtId="167" xfId="0" applyAlignment="1" applyBorder="1" applyFont="1" applyNumberFormat="1">
      <alignment horizontal="center" readingOrder="0" vertical="bottom"/>
    </xf>
    <xf borderId="19" fillId="9" fontId="0" numFmtId="1" xfId="0" applyAlignment="1" applyBorder="1" applyFont="1" applyNumberFormat="1">
      <alignment horizontal="center" shrinkToFit="0" wrapText="0"/>
    </xf>
    <xf borderId="0" fillId="5" fontId="7" numFmtId="167" xfId="0" applyAlignment="1" applyFont="1" applyNumberFormat="1">
      <alignment horizontal="center" vertical="bottom"/>
    </xf>
    <xf borderId="0" fillId="0" fontId="9" numFmtId="0" xfId="0" applyAlignment="1" applyFont="1">
      <alignment readingOrder="0" shrinkToFit="0" wrapText="1"/>
    </xf>
    <xf borderId="7" fillId="0" fontId="2" numFmtId="0" xfId="0" applyAlignment="1" applyBorder="1" applyFont="1">
      <alignment horizontal="center" readingOrder="0"/>
    </xf>
    <xf borderId="0" fillId="0" fontId="9" numFmtId="0" xfId="0" applyAlignment="1" applyFont="1">
      <alignment shrinkToFit="0" wrapText="1"/>
    </xf>
    <xf borderId="7" fillId="0" fontId="2" numFmtId="9" xfId="0" applyAlignment="1" applyBorder="1" applyFont="1" applyNumberFormat="1">
      <alignment horizontal="center" readingOrder="0"/>
    </xf>
    <xf borderId="0" fillId="0" fontId="9" numFmtId="0" xfId="0" applyAlignment="1" applyFont="1">
      <alignment horizontal="left" readingOrder="0" shrinkToFit="0" wrapText="1"/>
    </xf>
    <xf borderId="0" fillId="0" fontId="9" numFmtId="1" xfId="0" applyAlignment="1" applyFont="1" applyNumberFormat="1">
      <alignment horizontal="center" shrinkToFit="0" wrapText="1"/>
    </xf>
    <xf borderId="7" fillId="0" fontId="2" numFmtId="1" xfId="0" applyAlignment="1" applyBorder="1" applyFont="1" applyNumberFormat="1">
      <alignment horizontal="center" readingOrder="0"/>
    </xf>
    <xf borderId="0" fillId="0" fontId="9" numFmtId="1" xfId="0" applyAlignment="1" applyFont="1" applyNumberFormat="1">
      <alignment horizontal="center" readingOrder="0" shrinkToFit="0" wrapText="1"/>
    </xf>
    <xf borderId="0" fillId="5" fontId="1" numFmtId="1" xfId="0" applyAlignment="1" applyFont="1" applyNumberFormat="1">
      <alignment horizontal="center"/>
    </xf>
    <xf borderId="0" fillId="5" fontId="2" numFmtId="1" xfId="0" applyAlignment="1" applyFont="1" applyNumberFormat="1">
      <alignment horizontal="center"/>
    </xf>
    <xf borderId="0" fillId="0" fontId="1" numFmtId="9" xfId="0" applyAlignment="1" applyFont="1" applyNumberFormat="1">
      <alignment readingOrder="0"/>
    </xf>
    <xf borderId="0" fillId="0" fontId="0" numFmtId="0" xfId="0" applyAlignment="1" applyFont="1">
      <alignment horizontal="left" shrinkToFit="0" wrapText="0"/>
    </xf>
    <xf borderId="17" fillId="9" fontId="0" numFmtId="2" xfId="0" applyAlignment="1" applyBorder="1" applyFont="1" applyNumberFormat="1">
      <alignment horizontal="center" shrinkToFit="0" wrapText="0"/>
    </xf>
    <xf borderId="0" fillId="5" fontId="2" numFmtId="167" xfId="0" applyFont="1" applyNumberFormat="1"/>
    <xf borderId="0" fillId="5" fontId="2" numFmtId="10" xfId="0" applyFont="1" applyNumberFormat="1"/>
    <xf borderId="19" fillId="9" fontId="0" numFmtId="2" xfId="0" applyAlignment="1" applyBorder="1" applyFont="1" applyNumberFormat="1">
      <alignment horizontal="center" shrinkToFit="0" wrapText="0"/>
    </xf>
    <xf borderId="12" fillId="5" fontId="2" numFmtId="10" xfId="0" applyBorder="1" applyFont="1" applyNumberFormat="1"/>
    <xf borderId="0" fillId="0" fontId="11" numFmtId="0" xfId="0" applyAlignment="1" applyFont="1">
      <alignment readingOrder="0" shrinkToFit="0" wrapText="0"/>
    </xf>
    <xf borderId="0" fillId="0" fontId="6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wrapText="0"/>
    </xf>
    <xf borderId="14" fillId="5" fontId="2" numFmtId="10" xfId="0" applyBorder="1" applyFont="1" applyNumberFormat="1"/>
    <xf borderId="0" fillId="0" fontId="6" numFmtId="9" xfId="0" applyAlignment="1" applyFont="1" applyNumberFormat="1">
      <alignment readingOrder="0" shrinkToFit="0" wrapText="1"/>
    </xf>
    <xf borderId="0" fillId="0" fontId="6" numFmtId="1" xfId="0" applyAlignment="1" applyFont="1" applyNumberFormat="1">
      <alignment shrinkToFit="0" wrapText="1"/>
    </xf>
    <xf borderId="0" fillId="0" fontId="12" numFmtId="0" xfId="0" applyAlignment="1" applyFont="1">
      <alignment readingOrder="0" shrinkToFit="0" wrapText="0"/>
    </xf>
    <xf borderId="0" fillId="0" fontId="0" numFmtId="1" xfId="0" applyAlignment="1" applyFont="1" applyNumberFormat="1">
      <alignment shrinkToFit="0" wrapText="1"/>
    </xf>
    <xf borderId="0" fillId="4" fontId="13" numFmtId="0" xfId="0" applyAlignment="1" applyFont="1">
      <alignment readingOrder="0"/>
    </xf>
    <xf borderId="14" fillId="0" fontId="2" numFmtId="3" xfId="0" applyBorder="1" applyFont="1" applyNumberFormat="1"/>
    <xf borderId="0" fillId="0" fontId="0" numFmtId="9" xfId="0" applyAlignment="1" applyFont="1" applyNumberFormat="1">
      <alignment readingOrder="0" shrinkToFit="0" wrapText="1"/>
    </xf>
    <xf borderId="5" fillId="5" fontId="2" numFmtId="166" xfId="0" applyBorder="1" applyFont="1" applyNumberFormat="1"/>
    <xf borderId="0" fillId="0" fontId="1" numFmtId="166" xfId="0" applyFont="1" applyNumberFormat="1"/>
    <xf borderId="0" fillId="5" fontId="2" numFmtId="0" xfId="0" applyAlignment="1" applyFont="1">
      <alignment horizontal="center" readingOrder="0"/>
    </xf>
    <xf borderId="12" fillId="0" fontId="2" numFmtId="3" xfId="0" applyBorder="1" applyFont="1" applyNumberFormat="1"/>
    <xf borderId="0" fillId="5" fontId="2" numFmtId="0" xfId="0" applyAlignment="1" applyFont="1">
      <alignment horizontal="right" readingOrder="0"/>
    </xf>
    <xf borderId="0" fillId="0" fontId="2" numFmtId="10" xfId="0" applyFont="1" applyNumberFormat="1"/>
    <xf borderId="0" fillId="5" fontId="2" numFmtId="166" xfId="0" applyAlignment="1" applyFont="1" applyNumberFormat="1">
      <alignment horizontal="right"/>
    </xf>
    <xf borderId="0" fillId="5" fontId="2" numFmtId="164" xfId="0" applyAlignment="1" applyFont="1" applyNumberFormat="1">
      <alignment horizontal="center"/>
    </xf>
    <xf borderId="0" fillId="5" fontId="1" numFmtId="3" xfId="0" applyFont="1" applyNumberFormat="1"/>
    <xf borderId="5" fillId="0" fontId="2" numFmtId="10" xfId="0" applyBorder="1" applyFont="1" applyNumberFormat="1"/>
    <xf borderId="5" fillId="5" fontId="2" numFmtId="1" xfId="0" applyAlignment="1" applyBorder="1" applyFont="1" applyNumberFormat="1">
      <alignment horizontal="center"/>
    </xf>
    <xf borderId="5" fillId="5" fontId="2" numFmtId="166" xfId="0" applyAlignment="1" applyBorder="1" applyFont="1" applyNumberFormat="1">
      <alignment horizontal="right"/>
    </xf>
    <xf borderId="5" fillId="5" fontId="1" numFmtId="1" xfId="0" applyBorder="1" applyFont="1" applyNumberFormat="1"/>
    <xf borderId="0" fillId="0" fontId="1" numFmtId="1" xfId="0" applyAlignment="1" applyFont="1" applyNumberFormat="1">
      <alignment horizontal="center"/>
    </xf>
    <xf borderId="0" fillId="0" fontId="1" numFmtId="166" xfId="0" applyAlignment="1" applyFont="1" applyNumberFormat="1">
      <alignment horizontal="right"/>
    </xf>
    <xf borderId="0" fillId="0" fontId="1" numFmtId="1" xfId="0" applyFont="1" applyNumberFormat="1"/>
    <xf borderId="0" fillId="0" fontId="2" numFmtId="164" xfId="0" applyAlignment="1" applyFont="1" applyNumberFormat="1">
      <alignment horizontal="center"/>
    </xf>
    <xf borderId="0" fillId="0" fontId="2" numFmtId="166" xfId="0" applyAlignment="1" applyFont="1" applyNumberFormat="1">
      <alignment horizontal="right"/>
    </xf>
    <xf borderId="0" fillId="5" fontId="2" numFmtId="2" xfId="0" applyAlignment="1" applyFont="1" applyNumberFormat="1">
      <alignment horizontal="right"/>
    </xf>
    <xf borderId="0" fillId="5" fontId="2" numFmtId="3" xfId="0" applyAlignment="1" applyFont="1" applyNumberFormat="1">
      <alignment horizontal="right"/>
    </xf>
    <xf borderId="0" fillId="0" fontId="2" numFmtId="4" xfId="0" applyAlignment="1" applyFont="1" applyNumberFormat="1">
      <alignment readingOrder="0"/>
    </xf>
    <xf borderId="0" fillId="0" fontId="2" numFmtId="0" xfId="0" applyAlignment="1" applyFont="1">
      <alignment horizontal="center" readingOrder="0"/>
    </xf>
    <xf borderId="0" fillId="0" fontId="2" numFmtId="1" xfId="0" applyAlignment="1" applyFont="1" applyNumberFormat="1">
      <alignment horizontal="center"/>
    </xf>
    <xf borderId="20" fillId="0" fontId="1" numFmtId="0" xfId="0" applyAlignment="1" applyBorder="1" applyFont="1">
      <alignment readingOrder="0"/>
    </xf>
    <xf borderId="20" fillId="0" fontId="2" numFmtId="0" xfId="0" applyAlignment="1" applyBorder="1" applyFont="1">
      <alignment horizontal="center" readingOrder="0"/>
    </xf>
    <xf borderId="20" fillId="0" fontId="2" numFmtId="0" xfId="0" applyAlignment="1" applyBorder="1" applyFont="1">
      <alignment horizontal="center" readingOrder="0" shrinkToFit="0" wrapText="1"/>
    </xf>
    <xf borderId="20" fillId="0" fontId="2" numFmtId="0" xfId="0" applyAlignment="1" applyBorder="1" applyFont="1">
      <alignment readingOrder="0"/>
    </xf>
    <xf borderId="20" fillId="0" fontId="2" numFmtId="0" xfId="0" applyBorder="1" applyFont="1"/>
    <xf borderId="0" fillId="0" fontId="2" numFmtId="4" xfId="0" applyFont="1" applyNumberFormat="1"/>
    <xf borderId="0" fillId="0" fontId="2" numFmtId="3" xfId="0" applyAlignment="1" applyFont="1" applyNumberFormat="1">
      <alignment horizontal="center"/>
    </xf>
    <xf borderId="0" fillId="0" fontId="2" numFmtId="1" xfId="0" applyAlignment="1" applyFont="1" applyNumberFormat="1">
      <alignment horizontal="center" readingOrder="0"/>
    </xf>
    <xf borderId="0" fillId="0" fontId="2" numFmtId="167" xfId="0" applyFont="1" applyNumberFormat="1"/>
    <xf borderId="0" fillId="0" fontId="2" numFmtId="11" xfId="0" applyAlignment="1" applyFont="1" applyNumberFormat="1">
      <alignment readingOrder="0"/>
    </xf>
    <xf borderId="12" fillId="0" fontId="2" numFmtId="167" xfId="0" applyBorder="1" applyFont="1" applyNumberFormat="1"/>
    <xf borderId="0" fillId="0" fontId="2" numFmtId="11" xfId="0" applyFont="1" applyNumberFormat="1"/>
    <xf borderId="14" fillId="0" fontId="2" numFmtId="167" xfId="0" applyBorder="1" applyFont="1" applyNumberFormat="1"/>
    <xf borderId="4" fillId="0" fontId="2" numFmtId="3" xfId="0" applyBorder="1" applyFont="1" applyNumberFormat="1"/>
    <xf borderId="21" fillId="0" fontId="2" numFmtId="3" xfId="0" applyBorder="1" applyFont="1" applyNumberFormat="1"/>
    <xf borderId="0" fillId="0" fontId="14" numFmtId="0" xfId="0" applyAlignment="1" applyFont="1">
      <alignment readingOrder="0"/>
    </xf>
    <xf borderId="7" fillId="0" fontId="1" numFmtId="3" xfId="0" applyAlignment="1" applyBorder="1" applyFont="1" applyNumberFormat="1">
      <alignment readingOrder="0"/>
    </xf>
    <xf borderId="7" fillId="0" fontId="2" numFmtId="9" xfId="0" applyAlignment="1" applyBorder="1" applyFont="1" applyNumberFormat="1">
      <alignment readingOrder="0"/>
    </xf>
    <xf borderId="0" fillId="0" fontId="2" numFmtId="168" xfId="0" applyFont="1" applyNumberFormat="1"/>
    <xf borderId="2" fillId="0" fontId="2" numFmtId="0" xfId="0" applyBorder="1" applyFont="1"/>
    <xf borderId="2" fillId="0" fontId="15" numFmtId="0" xfId="0" applyAlignment="1" applyBorder="1" applyFont="1">
      <alignment readingOrder="0"/>
    </xf>
    <xf borderId="3" fillId="0" fontId="2" numFmtId="0" xfId="0" applyBorder="1" applyFont="1"/>
    <xf borderId="22" fillId="0" fontId="2" numFmtId="0" xfId="0" applyBorder="1" applyFont="1"/>
    <xf borderId="4" fillId="0" fontId="2" numFmtId="0" xfId="0" applyBorder="1" applyFont="1"/>
    <xf borderId="5" fillId="0" fontId="16" numFmtId="0" xfId="0" applyAlignment="1" applyBorder="1" applyFont="1">
      <alignment readingOrder="0"/>
    </xf>
    <xf borderId="6" fillId="0" fontId="2" numFmtId="0" xfId="0" applyAlignment="1" applyBorder="1" applyFont="1">
      <alignment readingOrder="0"/>
    </xf>
    <xf borderId="0" fillId="5" fontId="2" numFmtId="2" xfId="0" applyFont="1" applyNumberFormat="1"/>
    <xf borderId="0" fillId="0" fontId="2" numFmtId="10" xfId="0" applyAlignment="1" applyFont="1" applyNumberFormat="1">
      <alignment readingOrder="0"/>
    </xf>
    <xf borderId="0" fillId="0" fontId="2" numFmtId="169" xfId="0" applyAlignment="1" applyFont="1" applyNumberFormat="1">
      <alignment readingOrder="0"/>
    </xf>
    <xf borderId="22" fillId="0" fontId="2" numFmtId="0" xfId="0" applyAlignment="1" applyBorder="1" applyFont="1">
      <alignment readingOrder="0"/>
    </xf>
    <xf borderId="0" fillId="5" fontId="2" numFmtId="2" xfId="0" applyAlignment="1" applyFont="1" applyNumberFormat="1">
      <alignment readingOrder="0"/>
    </xf>
    <xf borderId="4" fillId="0" fontId="2" numFmtId="0" xfId="0" applyAlignment="1" applyBorder="1" applyFont="1">
      <alignment readingOrder="0"/>
    </xf>
    <xf borderId="6" fillId="0" fontId="2" numFmtId="0" xfId="0" applyBorder="1" applyFont="1"/>
    <xf borderId="0" fillId="0" fontId="2" numFmtId="166" xfId="0" applyAlignment="1" applyFont="1" applyNumberFormat="1">
      <alignment readingOrder="0"/>
    </xf>
    <xf borderId="8" fillId="0" fontId="1" numFmtId="0" xfId="0" applyAlignment="1" applyBorder="1" applyFont="1">
      <alignment readingOrder="0"/>
    </xf>
    <xf borderId="9" fillId="0" fontId="1" numFmtId="0" xfId="0" applyBorder="1" applyFont="1"/>
    <xf borderId="9" fillId="0" fontId="1" numFmtId="0" xfId="0" applyAlignment="1" applyBorder="1" applyFont="1">
      <alignment readingOrder="0"/>
    </xf>
    <xf borderId="10" fillId="5" fontId="1" numFmtId="1" xfId="0" applyBorder="1" applyFont="1" applyNumberFormat="1"/>
    <xf borderId="0" fillId="5" fontId="2" numFmtId="9" xfId="0" applyFont="1" applyNumberFormat="1"/>
    <xf borderId="0" fillId="0" fontId="1" numFmtId="1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Mean solar irradiance by latitude and time of year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latswithopdeps!$C$2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latswithopdeps!$B$3:$B$1001</c:f>
            </c:strRef>
          </c:cat>
          <c:val>
            <c:numRef>
              <c:f>latswithopdeps!$C$3:$C$1001</c:f>
            </c:numRef>
          </c:val>
          <c:smooth val="0"/>
        </c:ser>
        <c:ser>
          <c:idx val="1"/>
          <c:order val="1"/>
          <c:tx>
            <c:strRef>
              <c:f>latswithopdeps!$D$2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latswithopdeps!$B$3:$B$1001</c:f>
            </c:strRef>
          </c:cat>
          <c:val>
            <c:numRef>
              <c:f>latswithopdeps!$D$3:$D$1001</c:f>
            </c:numRef>
          </c:val>
          <c:smooth val="0"/>
        </c:ser>
        <c:ser>
          <c:idx val="2"/>
          <c:order val="2"/>
          <c:tx>
            <c:strRef>
              <c:f>latswithopdeps!$E$2</c:f>
            </c:strRef>
          </c:tx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latswithopdeps!$B$3:$B$1001</c:f>
            </c:strRef>
          </c:cat>
          <c:val>
            <c:numRef>
              <c:f>latswithopdeps!$E$3:$E$1001</c:f>
            </c:numRef>
          </c:val>
          <c:smooth val="0"/>
        </c:ser>
        <c:ser>
          <c:idx val="3"/>
          <c:order val="3"/>
          <c:tx>
            <c:strRef>
              <c:f>latswithopdeps!$F$2</c:f>
            </c:strRef>
          </c:tx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latswithopdeps!$B$3:$B$1001</c:f>
            </c:strRef>
          </c:cat>
          <c:val>
            <c:numRef>
              <c:f>latswithopdeps!$F$3:$F$1001</c:f>
            </c:numRef>
          </c:val>
          <c:smooth val="0"/>
        </c:ser>
        <c:ser>
          <c:idx val="4"/>
          <c:order val="4"/>
          <c:tx>
            <c:strRef>
              <c:f>latswithopdeps!$G$2</c:f>
            </c:strRef>
          </c:tx>
          <c:spPr>
            <a:ln cmpd="sng" w="19050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latswithopdeps!$B$3:$B$1001</c:f>
            </c:strRef>
          </c:cat>
          <c:val>
            <c:numRef>
              <c:f>latswithopdeps!$G$3:$G$1001</c:f>
            </c:numRef>
          </c:val>
          <c:smooth val="0"/>
        </c:ser>
        <c:ser>
          <c:idx val="5"/>
          <c:order val="5"/>
          <c:tx>
            <c:strRef>
              <c:f>latswithopdeps!$H$2</c:f>
            </c:strRef>
          </c:tx>
          <c:spPr>
            <a:ln cmpd="sng" w="19050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latswithopdeps!$B$3:$B$1001</c:f>
            </c:strRef>
          </c:cat>
          <c:val>
            <c:numRef>
              <c:f>latswithopdeps!$H$3:$H$1001</c:f>
            </c:numRef>
          </c:val>
          <c:smooth val="0"/>
        </c:ser>
        <c:ser>
          <c:idx val="6"/>
          <c:order val="6"/>
          <c:tx>
            <c:strRef>
              <c:f>latswithopdeps!$I$2</c:f>
            </c:strRef>
          </c:tx>
          <c:spPr>
            <a:ln cmpd="sng" w="19050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latswithopdeps!$B$3:$B$1001</c:f>
            </c:strRef>
          </c:cat>
          <c:val>
            <c:numRef>
              <c:f>latswithopdeps!$I$3:$I$1001</c:f>
            </c:numRef>
          </c:val>
          <c:smooth val="0"/>
        </c:ser>
        <c:ser>
          <c:idx val="7"/>
          <c:order val="7"/>
          <c:tx>
            <c:strRef>
              <c:f>latswithopdeps!$J$2</c:f>
            </c:strRef>
          </c:tx>
          <c:spPr>
            <a:ln cmpd="sng" w="19050">
              <a:solidFill>
                <a:srgbClr val="66AA00"/>
              </a:solidFill>
            </a:ln>
          </c:spPr>
          <c:marker>
            <c:symbol val="none"/>
          </c:marker>
          <c:cat>
            <c:strRef>
              <c:f>latswithopdeps!$B$3:$B$1001</c:f>
            </c:strRef>
          </c:cat>
          <c:val>
            <c:numRef>
              <c:f>latswithopdeps!$J$3:$J$1001</c:f>
            </c:numRef>
          </c:val>
          <c:smooth val="0"/>
        </c:ser>
        <c:ser>
          <c:idx val="8"/>
          <c:order val="8"/>
          <c:tx>
            <c:strRef>
              <c:f>latswithopdeps!$K$2</c:f>
            </c:strRef>
          </c:tx>
          <c:spPr>
            <a:ln cmpd="sng" w="19050">
              <a:solidFill>
                <a:srgbClr val="B82E2E"/>
              </a:solidFill>
            </a:ln>
          </c:spPr>
          <c:marker>
            <c:symbol val="none"/>
          </c:marker>
          <c:cat>
            <c:strRef>
              <c:f>latswithopdeps!$B$3:$B$1001</c:f>
            </c:strRef>
          </c:cat>
          <c:val>
            <c:numRef>
              <c:f>latswithopdeps!$K$3:$K$1001</c:f>
            </c:numRef>
          </c:val>
          <c:smooth val="0"/>
        </c:ser>
        <c:axId val="272897397"/>
        <c:axId val="499270300"/>
      </c:lineChart>
      <c:catAx>
        <c:axId val="27289739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Days since vernal equinox (sols)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499270300"/>
      </c:catAx>
      <c:valAx>
        <c:axId val="4992703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Mean irradiance (W/m^2)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72897397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5.jpg"/><Relationship Id="rId2" Type="http://schemas.openxmlformats.org/officeDocument/2006/relationships/image" Target="../media/image3.jpg"/><Relationship Id="rId3" Type="http://schemas.openxmlformats.org/officeDocument/2006/relationships/image" Target="../media/image4.jpg"/><Relationship Id="rId4" Type="http://schemas.openxmlformats.org/officeDocument/2006/relationships/image" Target="../media/image6.jp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800100</xdr:colOff>
      <xdr:row>4</xdr:row>
      <xdr:rowOff>161925</xdr:rowOff>
    </xdr:from>
    <xdr:ext cx="3914775" cy="12668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171450</xdr:colOff>
      <xdr:row>33</xdr:row>
      <xdr:rowOff>9525</xdr:rowOff>
    </xdr:from>
    <xdr:ext cx="6877050" cy="3495675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6</xdr:col>
      <xdr:colOff>495300</xdr:colOff>
      <xdr:row>51</xdr:row>
      <xdr:rowOff>152400</xdr:rowOff>
    </xdr:from>
    <xdr:ext cx="4533900" cy="904875"/>
    <xdr:pic>
      <xdr:nvPicPr>
        <xdr:cNvPr id="0" name="image5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542925</xdr:colOff>
      <xdr:row>55</xdr:row>
      <xdr:rowOff>190500</xdr:rowOff>
    </xdr:from>
    <xdr:ext cx="3952875" cy="1266825"/>
    <xdr:pic>
      <xdr:nvPicPr>
        <xdr:cNvPr id="0" name="image3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552450</xdr:colOff>
      <xdr:row>62</xdr:row>
      <xdr:rowOff>57150</xdr:rowOff>
    </xdr:from>
    <xdr:ext cx="2257425" cy="428625"/>
    <xdr:pic>
      <xdr:nvPicPr>
        <xdr:cNvPr id="0" name="image4.jp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600075</xdr:colOff>
      <xdr:row>64</xdr:row>
      <xdr:rowOff>66675</xdr:rowOff>
    </xdr:from>
    <xdr:ext cx="2800350" cy="1085850"/>
    <xdr:pic>
      <xdr:nvPicPr>
        <xdr:cNvPr id="0" name="image6.jpg" title="Image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476250</xdr:colOff>
      <xdr:row>3</xdr:row>
      <xdr:rowOff>57150</xdr:rowOff>
    </xdr:from>
    <xdr:ext cx="11772900" cy="72771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allearthrenewables.com/dual-axis-tracker-vs-roof-mount-solar-case-study" TargetMode="External"/><Relationship Id="rId2" Type="http://schemas.openxmlformats.org/officeDocument/2006/relationships/hyperlink" Target="https://en.wikipedia.org/wiki/Biomass" TargetMode="External"/><Relationship Id="rId3" Type="http://schemas.openxmlformats.org/officeDocument/2006/relationships/hyperlink" Target="https://en.wikipedia.org/wiki/Biomass" TargetMode="External"/><Relationship Id="rId4" Type="http://schemas.openxmlformats.org/officeDocument/2006/relationships/hyperlink" Target="https://en.wikipedia.org/wiki/Biomass" TargetMode="External"/><Relationship Id="rId11" Type="http://schemas.openxmlformats.org/officeDocument/2006/relationships/drawing" Target="../drawings/drawing1.xml"/><Relationship Id="rId10" Type="http://schemas.openxmlformats.org/officeDocument/2006/relationships/hyperlink" Target="http://large.stanford.edu/courses/2016/ph240/martelaro1/" TargetMode="External"/><Relationship Id="rId9" Type="http://schemas.openxmlformats.org/officeDocument/2006/relationships/hyperlink" Target="https://www.eurotherm.com/efficient-future-for-the-glass-industry-is-all-electric" TargetMode="External"/><Relationship Id="rId5" Type="http://schemas.openxmlformats.org/officeDocument/2006/relationships/hyperlink" Target="https://en.wikipedia.org/wiki/Biomass" TargetMode="External"/><Relationship Id="rId6" Type="http://schemas.openxmlformats.org/officeDocument/2006/relationships/hyperlink" Target="https://en.wikipedia.org/wiki/Biomass" TargetMode="External"/><Relationship Id="rId7" Type="http://schemas.openxmlformats.org/officeDocument/2006/relationships/hyperlink" Target="https://en.wikipedia.org/wiki/Biomass" TargetMode="External"/><Relationship Id="rId8" Type="http://schemas.openxmlformats.org/officeDocument/2006/relationships/hyperlink" Target="http://www.tectonica-online.com/topics/energy/embodied-energy-materials-enrique-azpilicueta/table/31/" TargetMode="Externa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ntrs.nasa.gov/archive/nasa/casi.ntrs.nasa.gov/20140000360.pdf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en.wikipedia.org/wiki/Electrolysis_of_water" TargetMode="External"/><Relationship Id="rId2" Type="http://schemas.openxmlformats.org/officeDocument/2006/relationships/hyperlink" Target="https://nssdc.gsfc.nasa.gov/planetary/factsheet/marsfact.html" TargetMode="External"/><Relationship Id="rId3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eddit.com/r/Colonizemars/comments/5gj2st/i_simulated_solar_irradiance_on_mars_at_various/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2.14"/>
    <col customWidth="1" min="2" max="2" width="11.14"/>
    <col customWidth="1" min="3" max="3" width="11.86"/>
    <col customWidth="1" min="4" max="4" width="14.14"/>
    <col customWidth="1" min="5" max="5" width="13.43"/>
    <col customWidth="1" min="6" max="6" width="13.0"/>
  </cols>
  <sheetData>
    <row r="1">
      <c r="A1" s="2" t="s">
        <v>8</v>
      </c>
    </row>
    <row r="3">
      <c r="A3" s="4" t="s">
        <v>9</v>
      </c>
      <c r="B3" s="6"/>
      <c r="C3" s="6"/>
      <c r="D3" s="6"/>
      <c r="E3" s="6"/>
      <c r="F3" s="6"/>
    </row>
    <row r="4">
      <c r="A4" s="2" t="s">
        <v>13</v>
      </c>
    </row>
    <row r="5">
      <c r="A5" s="2" t="s">
        <v>14</v>
      </c>
    </row>
    <row r="6">
      <c r="C6" s="2" t="s">
        <v>16</v>
      </c>
      <c r="E6" s="2" t="s">
        <v>17</v>
      </c>
    </row>
    <row r="7">
      <c r="A7" s="1" t="s">
        <v>18</v>
      </c>
    </row>
    <row r="8">
      <c r="A8" s="2" t="s">
        <v>19</v>
      </c>
      <c r="C8" s="2" t="s">
        <v>20</v>
      </c>
      <c r="D8" s="2">
        <v>1000.0</v>
      </c>
      <c r="E8" s="2" t="s">
        <v>23</v>
      </c>
    </row>
    <row r="9">
      <c r="A9" s="2" t="s">
        <v>24</v>
      </c>
      <c r="C9" s="2" t="s">
        <v>26</v>
      </c>
      <c r="D9" s="2">
        <v>100.0</v>
      </c>
      <c r="E9" s="2" t="s">
        <v>28</v>
      </c>
    </row>
    <row r="10">
      <c r="A10" s="2" t="s">
        <v>30</v>
      </c>
      <c r="C10" s="2" t="s">
        <v>26</v>
      </c>
      <c r="D10" s="8">
        <v>76.0</v>
      </c>
      <c r="E10" s="2" t="s">
        <v>35</v>
      </c>
    </row>
    <row r="11">
      <c r="A11" s="2" t="s">
        <v>36</v>
      </c>
      <c r="C11" s="2" t="s">
        <v>37</v>
      </c>
    </row>
    <row r="14">
      <c r="A14" s="4" t="s">
        <v>38</v>
      </c>
      <c r="B14" s="6"/>
      <c r="C14" s="6"/>
      <c r="D14" s="6"/>
      <c r="E14" s="6"/>
      <c r="F14" s="6"/>
    </row>
    <row r="15">
      <c r="A15" s="2" t="s">
        <v>39</v>
      </c>
      <c r="B15" s="2" t="s">
        <v>40</v>
      </c>
      <c r="C15" s="2" t="s">
        <v>41</v>
      </c>
      <c r="D15" s="2">
        <v>590.0</v>
      </c>
      <c r="E15" s="2" t="s">
        <v>42</v>
      </c>
    </row>
    <row r="16">
      <c r="A16" s="2" t="s">
        <v>43</v>
      </c>
      <c r="B16" s="2" t="s">
        <v>44</v>
      </c>
      <c r="D16" s="10">
        <v>0.3</v>
      </c>
      <c r="E16" s="2" t="s">
        <v>46</v>
      </c>
    </row>
    <row r="17">
      <c r="A17" s="2" t="s">
        <v>47</v>
      </c>
      <c r="C17" s="2" t="s">
        <v>48</v>
      </c>
      <c r="D17" s="2">
        <v>120.0</v>
      </c>
      <c r="E17" s="2" t="s">
        <v>49</v>
      </c>
    </row>
    <row r="18">
      <c r="A18" s="2" t="s">
        <v>50</v>
      </c>
      <c r="D18" s="2" t="s">
        <v>51</v>
      </c>
      <c r="H18" s="11" t="s">
        <v>52</v>
      </c>
    </row>
    <row r="19">
      <c r="A19" s="2" t="s">
        <v>53</v>
      </c>
      <c r="B19" s="2" t="s">
        <v>32</v>
      </c>
      <c r="C19" s="2" t="s">
        <v>54</v>
      </c>
      <c r="D19" s="2">
        <v>10.0</v>
      </c>
      <c r="E19" s="2" t="s">
        <v>55</v>
      </c>
    </row>
    <row r="20">
      <c r="A20" s="2" t="s">
        <v>56</v>
      </c>
      <c r="B20" s="2" t="s">
        <v>58</v>
      </c>
      <c r="C20" s="2"/>
      <c r="D20" s="10">
        <v>0.2</v>
      </c>
      <c r="E20" s="2" t="s">
        <v>61</v>
      </c>
    </row>
    <row r="21">
      <c r="A21" s="2" t="s">
        <v>63</v>
      </c>
      <c r="B21" s="2" t="s">
        <v>65</v>
      </c>
      <c r="C21" s="2"/>
      <c r="D21" s="10">
        <v>0.1</v>
      </c>
      <c r="E21" s="2" t="s">
        <v>67</v>
      </c>
    </row>
    <row r="22">
      <c r="A22" s="2" t="s">
        <v>69</v>
      </c>
      <c r="B22" s="12"/>
      <c r="C22" s="2"/>
      <c r="D22" s="10">
        <v>0.95</v>
      </c>
    </row>
    <row r="23">
      <c r="A23" s="2" t="s">
        <v>71</v>
      </c>
      <c r="B23" s="12" t="s">
        <v>72</v>
      </c>
      <c r="C23" s="2" t="s">
        <v>41</v>
      </c>
      <c r="D23" s="14">
        <f>D15*(1-(D20+D21))</f>
        <v>413</v>
      </c>
    </row>
    <row r="24">
      <c r="A24" s="2" t="s">
        <v>77</v>
      </c>
      <c r="B24" s="2" t="s">
        <v>78</v>
      </c>
      <c r="C24" s="2" t="s">
        <v>41</v>
      </c>
      <c r="D24" s="15">
        <f>D23*D19/24</f>
        <v>172.0833333</v>
      </c>
      <c r="E24" s="2" t="s">
        <v>86</v>
      </c>
    </row>
    <row r="25">
      <c r="A25" s="2" t="s">
        <v>88</v>
      </c>
      <c r="B25" s="2" t="s">
        <v>89</v>
      </c>
      <c r="C25" s="2" t="s">
        <v>90</v>
      </c>
      <c r="D25" s="16">
        <f>D23*D19*3600</f>
        <v>14868000</v>
      </c>
    </row>
    <row r="26">
      <c r="A26" s="2" t="s">
        <v>95</v>
      </c>
      <c r="B26" s="2" t="s">
        <v>96</v>
      </c>
      <c r="C26" s="2" t="s">
        <v>98</v>
      </c>
      <c r="D26" s="16">
        <f>D25*D16*D22</f>
        <v>4237380</v>
      </c>
    </row>
    <row r="27">
      <c r="A27" s="2" t="s">
        <v>102</v>
      </c>
      <c r="C27" s="2" t="s">
        <v>41</v>
      </c>
      <c r="D27" s="15">
        <f>D26/24/3600</f>
        <v>49.04375</v>
      </c>
      <c r="E27" s="2" t="s">
        <v>105</v>
      </c>
    </row>
    <row r="28">
      <c r="A28" s="1" t="s">
        <v>106</v>
      </c>
    </row>
    <row r="29">
      <c r="C29" s="2" t="s">
        <v>107</v>
      </c>
      <c r="D29" s="23">
        <f>0.000000278*D26</f>
        <v>1.17799164</v>
      </c>
    </row>
    <row r="30">
      <c r="A30" s="2" t="s">
        <v>113</v>
      </c>
      <c r="C30" s="2" t="s">
        <v>87</v>
      </c>
      <c r="D30" s="2">
        <v>3.0</v>
      </c>
      <c r="E30" s="2" t="s">
        <v>114</v>
      </c>
    </row>
    <row r="31">
      <c r="A31" s="2" t="s">
        <v>115</v>
      </c>
      <c r="C31" s="2" t="s">
        <v>87</v>
      </c>
      <c r="D31" s="2">
        <v>0.5</v>
      </c>
    </row>
    <row r="32">
      <c r="A32" s="25" t="s">
        <v>116</v>
      </c>
      <c r="B32" s="26"/>
      <c r="C32" s="25" t="s">
        <v>121</v>
      </c>
      <c r="D32" s="25">
        <v>1200.0</v>
      </c>
      <c r="E32" s="2" t="s">
        <v>122</v>
      </c>
      <c r="F32">
        <f>10000/20</f>
        <v>500</v>
      </c>
    </row>
    <row r="33">
      <c r="A33" s="1" t="s">
        <v>128</v>
      </c>
      <c r="B33" s="28"/>
      <c r="C33" s="1" t="s">
        <v>87</v>
      </c>
      <c r="D33" s="30">
        <f>D31+D30</f>
        <v>3.5</v>
      </c>
    </row>
    <row r="34">
      <c r="A34" s="2" t="s">
        <v>135</v>
      </c>
      <c r="C34" s="2" t="s">
        <v>137</v>
      </c>
      <c r="D34" s="2">
        <v>500.0</v>
      </c>
    </row>
    <row r="35">
      <c r="A35" s="2" t="s">
        <v>139</v>
      </c>
      <c r="C35" s="2" t="s">
        <v>121</v>
      </c>
      <c r="D35" s="16">
        <f>D34*D33+D32</f>
        <v>2950</v>
      </c>
    </row>
    <row r="36">
      <c r="A36" s="2" t="s">
        <v>110</v>
      </c>
      <c r="C36" s="2" t="s">
        <v>144</v>
      </c>
      <c r="D36" s="2">
        <v>20.0</v>
      </c>
    </row>
    <row r="37">
      <c r="A37" s="2" t="s">
        <v>147</v>
      </c>
      <c r="D37" s="10">
        <v>0.95</v>
      </c>
    </row>
    <row r="38">
      <c r="A38" s="2" t="s">
        <v>151</v>
      </c>
      <c r="C38" s="2" t="s">
        <v>125</v>
      </c>
      <c r="D38">
        <f>D37*D36*365</f>
        <v>6935</v>
      </c>
    </row>
    <row r="39">
      <c r="A39" s="2" t="s">
        <v>153</v>
      </c>
      <c r="C39" s="2" t="s">
        <v>154</v>
      </c>
      <c r="D39" s="32">
        <f>D35/D38</f>
        <v>0.4253785148</v>
      </c>
    </row>
    <row r="40">
      <c r="A40" s="2" t="s">
        <v>156</v>
      </c>
      <c r="B40" s="2" t="s">
        <v>157</v>
      </c>
      <c r="C40" s="2" t="s">
        <v>154</v>
      </c>
      <c r="D40" s="32">
        <f>D39*2</f>
        <v>0.8507570296</v>
      </c>
    </row>
    <row r="41">
      <c r="A41" s="34" t="s">
        <v>160</v>
      </c>
      <c r="B41" s="35"/>
      <c r="C41" s="37" t="s">
        <v>167</v>
      </c>
      <c r="D41" s="38">
        <f>D40*277.78</f>
        <v>236.3232877</v>
      </c>
    </row>
    <row r="42">
      <c r="A42" s="1"/>
    </row>
    <row r="43">
      <c r="A43" s="1" t="s">
        <v>177</v>
      </c>
    </row>
    <row r="44">
      <c r="A44" s="2" t="s">
        <v>177</v>
      </c>
      <c r="C44" s="2" t="s">
        <v>178</v>
      </c>
      <c r="D44" s="15">
        <f>'Propellant production'!D80</f>
        <v>1171916.026</v>
      </c>
      <c r="E44" s="2" t="s">
        <v>184</v>
      </c>
    </row>
    <row r="45">
      <c r="A45" s="1" t="s">
        <v>185</v>
      </c>
      <c r="B45" s="1" t="s">
        <v>186</v>
      </c>
      <c r="C45" s="1" t="s">
        <v>187</v>
      </c>
      <c r="D45" s="39">
        <f>365*2</f>
        <v>730</v>
      </c>
      <c r="E45" s="1" t="s">
        <v>194</v>
      </c>
    </row>
    <row r="46">
      <c r="B46" s="2" t="s">
        <v>195</v>
      </c>
      <c r="C46" s="2" t="s">
        <v>196</v>
      </c>
      <c r="D46" s="15">
        <f>D44/D45</f>
        <v>1605.36442</v>
      </c>
    </row>
    <row r="47">
      <c r="A47" s="2" t="s">
        <v>197</v>
      </c>
      <c r="C47" s="2" t="s">
        <v>4</v>
      </c>
      <c r="D47" s="15">
        <f>D46*1000000000/D26</f>
        <v>378857.7895</v>
      </c>
    </row>
    <row r="48">
      <c r="A48" s="1" t="s">
        <v>200</v>
      </c>
      <c r="B48" s="28"/>
      <c r="C48" s="1" t="s">
        <v>142</v>
      </c>
      <c r="D48" s="41">
        <f>D47*D33</f>
        <v>1326002.263</v>
      </c>
    </row>
    <row r="49">
      <c r="C49" s="1" t="s">
        <v>26</v>
      </c>
      <c r="D49" s="41">
        <f>D48/1000</f>
        <v>1326.002263</v>
      </c>
    </row>
    <row r="50">
      <c r="A50" s="2" t="s">
        <v>203</v>
      </c>
      <c r="D50" s="43">
        <f>D44*D41</f>
        <v>276951048.3</v>
      </c>
      <c r="E50" s="43">
        <f>D50/D49/1000</f>
        <v>208.8616709</v>
      </c>
    </row>
    <row r="51">
      <c r="A51" s="4" t="s">
        <v>205</v>
      </c>
      <c r="B51" s="6"/>
      <c r="C51" s="6"/>
      <c r="D51" s="6"/>
    </row>
    <row r="52">
      <c r="A52" s="2" t="s">
        <v>206</v>
      </c>
    </row>
    <row r="53">
      <c r="A53" s="2" t="s">
        <v>207</v>
      </c>
      <c r="B53" s="2" t="s">
        <v>208</v>
      </c>
      <c r="C53" s="2" t="s">
        <v>125</v>
      </c>
      <c r="D53" s="2">
        <v>100.0</v>
      </c>
      <c r="E53" s="2" t="s">
        <v>209</v>
      </c>
      <c r="F53" s="2" t="s">
        <v>210</v>
      </c>
    </row>
    <row r="54">
      <c r="A54" s="2"/>
      <c r="C54" s="2" t="s">
        <v>178</v>
      </c>
      <c r="D54" s="14">
        <f>D53*0.0036</f>
        <v>0.36</v>
      </c>
    </row>
    <row r="55">
      <c r="A55" s="2" t="s">
        <v>211</v>
      </c>
      <c r="B55" s="2" t="s">
        <v>212</v>
      </c>
      <c r="C55" s="2" t="s">
        <v>213</v>
      </c>
      <c r="D55" s="2">
        <v>450.0</v>
      </c>
    </row>
    <row r="56">
      <c r="A56" s="2" t="s">
        <v>214</v>
      </c>
      <c r="B56" s="2" t="s">
        <v>215</v>
      </c>
      <c r="C56" s="2" t="s">
        <v>213</v>
      </c>
      <c r="D56" s="16">
        <f>D55*0.7</f>
        <v>315</v>
      </c>
      <c r="E56" s="2" t="s">
        <v>216</v>
      </c>
    </row>
    <row r="57">
      <c r="A57" s="2" t="s">
        <v>217</v>
      </c>
      <c r="B57" s="2" t="s">
        <v>44</v>
      </c>
      <c r="D57" s="10">
        <v>0.2</v>
      </c>
    </row>
    <row r="58">
      <c r="A58" s="2" t="s">
        <v>218</v>
      </c>
      <c r="B58" s="2" t="s">
        <v>219</v>
      </c>
      <c r="C58" s="2" t="s">
        <v>213</v>
      </c>
      <c r="D58" s="16">
        <f>D56*(1-D57)</f>
        <v>252</v>
      </c>
    </row>
    <row r="59">
      <c r="A59" s="2" t="s">
        <v>220</v>
      </c>
      <c r="B59" s="2" t="s">
        <v>221</v>
      </c>
      <c r="C59" s="2" t="s">
        <v>222</v>
      </c>
      <c r="D59" s="16">
        <f>D58/D54</f>
        <v>700</v>
      </c>
    </row>
    <row r="60">
      <c r="A60" s="2" t="s">
        <v>223</v>
      </c>
      <c r="B60" s="2" t="s">
        <v>224</v>
      </c>
      <c r="C60" s="2" t="s">
        <v>225</v>
      </c>
      <c r="D60" s="44">
        <v>4000.0</v>
      </c>
    </row>
    <row r="61">
      <c r="A61" s="2" t="s">
        <v>226</v>
      </c>
      <c r="B61" s="2" t="s">
        <v>227</v>
      </c>
      <c r="C61" s="2" t="s">
        <v>228</v>
      </c>
      <c r="D61" s="45">
        <f>D60/D59</f>
        <v>5.714285714</v>
      </c>
    </row>
    <row r="62">
      <c r="A62" s="2" t="s">
        <v>229</v>
      </c>
      <c r="C62" s="2" t="s">
        <v>4</v>
      </c>
      <c r="D62" s="15">
        <f>D61*1000000000/D26</f>
        <v>1348.542192</v>
      </c>
    </row>
    <row r="63">
      <c r="C63" s="2" t="s">
        <v>142</v>
      </c>
      <c r="D63" s="15">
        <f>D62*D33</f>
        <v>4719.897673</v>
      </c>
    </row>
    <row r="64">
      <c r="A64" s="2" t="s">
        <v>230</v>
      </c>
      <c r="B64" s="2" t="s">
        <v>231</v>
      </c>
      <c r="C64" s="2" t="s">
        <v>142</v>
      </c>
      <c r="D64" s="44">
        <v>700.0</v>
      </c>
      <c r="E64" s="2" t="s">
        <v>232</v>
      </c>
    </row>
    <row r="65">
      <c r="A65" s="2"/>
      <c r="C65" s="2" t="s">
        <v>233</v>
      </c>
      <c r="D65" s="29">
        <f>D64/D54</f>
        <v>1944.444444</v>
      </c>
      <c r="E65" s="2"/>
    </row>
    <row r="66">
      <c r="A66" s="2" t="s">
        <v>234</v>
      </c>
      <c r="D66" s="2">
        <v>6.0</v>
      </c>
      <c r="E66" s="2" t="s">
        <v>235</v>
      </c>
    </row>
    <row r="67">
      <c r="A67" s="2" t="s">
        <v>236</v>
      </c>
      <c r="D67" s="10">
        <v>0.5</v>
      </c>
    </row>
    <row r="68">
      <c r="A68" s="1" t="s">
        <v>237</v>
      </c>
      <c r="B68" s="28"/>
      <c r="C68" s="1" t="s">
        <v>142</v>
      </c>
      <c r="D68" s="41">
        <f>(D64*D66*(1+D67))</f>
        <v>6300</v>
      </c>
    </row>
    <row r="69">
      <c r="C69" s="1" t="s">
        <v>26</v>
      </c>
      <c r="D69" s="41">
        <f>D68/1000</f>
        <v>6.3</v>
      </c>
    </row>
    <row r="70">
      <c r="A70" s="46" t="s">
        <v>238</v>
      </c>
      <c r="B70" s="30"/>
      <c r="C70" s="46" t="s">
        <v>178</v>
      </c>
      <c r="D70" s="41">
        <f>D61*D45</f>
        <v>4171.428571</v>
      </c>
    </row>
    <row r="71">
      <c r="A71" s="1"/>
      <c r="D71" s="43">
        <f>D70*$D$41</f>
        <v>985805.7143</v>
      </c>
    </row>
    <row r="72">
      <c r="A72" s="4" t="s">
        <v>239</v>
      </c>
      <c r="B72" s="6"/>
      <c r="C72" s="6"/>
      <c r="D72" s="6"/>
    </row>
    <row r="73">
      <c r="A73" s="2" t="s">
        <v>240</v>
      </c>
    </row>
    <row r="75">
      <c r="A75" s="2" t="s">
        <v>241</v>
      </c>
      <c r="C75" s="2" t="s">
        <v>99</v>
      </c>
      <c r="D75" s="44">
        <v>2.0</v>
      </c>
      <c r="E75" s="2" t="s">
        <v>242</v>
      </c>
    </row>
    <row r="76">
      <c r="A76" s="2" t="s">
        <v>243</v>
      </c>
      <c r="C76" s="2" t="s">
        <v>99</v>
      </c>
      <c r="D76" s="16">
        <f>D75*E136</f>
        <v>2000</v>
      </c>
    </row>
    <row r="77">
      <c r="A77" s="2" t="s">
        <v>244</v>
      </c>
      <c r="C77" s="2" t="s">
        <v>245</v>
      </c>
      <c r="D77" s="16">
        <f>D76*24</f>
        <v>48000</v>
      </c>
    </row>
    <row r="78">
      <c r="B78" s="2" t="s">
        <v>246</v>
      </c>
      <c r="C78" s="2" t="s">
        <v>196</v>
      </c>
      <c r="D78" s="15">
        <f>D77*0.0036</f>
        <v>172.8</v>
      </c>
    </row>
    <row r="79">
      <c r="A79" s="2" t="s">
        <v>247</v>
      </c>
      <c r="B79" s="2" t="s">
        <v>44</v>
      </c>
      <c r="D79" s="44">
        <v>2.5</v>
      </c>
      <c r="E79" s="2" t="s">
        <v>248</v>
      </c>
    </row>
    <row r="80">
      <c r="B80" s="2" t="s">
        <v>249</v>
      </c>
      <c r="C80" s="2" t="s">
        <v>196</v>
      </c>
      <c r="D80" s="15">
        <f>D78*D79</f>
        <v>432</v>
      </c>
      <c r="E80" s="2" t="s">
        <v>250</v>
      </c>
    </row>
    <row r="81">
      <c r="C81" s="2" t="s">
        <v>4</v>
      </c>
      <c r="D81" s="15">
        <f>D80*1000000000/D26</f>
        <v>101949.7897</v>
      </c>
    </row>
    <row r="82">
      <c r="A82" s="2" t="s">
        <v>251</v>
      </c>
      <c r="C82" s="2" t="s">
        <v>142</v>
      </c>
      <c r="D82" s="15">
        <f>D81*D33</f>
        <v>356824.264</v>
      </c>
    </row>
    <row r="83">
      <c r="A83" s="28"/>
      <c r="B83" s="28"/>
      <c r="C83" s="1" t="s">
        <v>26</v>
      </c>
      <c r="D83" s="47">
        <f>D82/1000</f>
        <v>356.824264</v>
      </c>
    </row>
    <row r="84">
      <c r="A84" s="2" t="s">
        <v>255</v>
      </c>
      <c r="C84" s="2" t="s">
        <v>178</v>
      </c>
      <c r="D84" s="23">
        <f>D80/4</f>
        <v>108</v>
      </c>
    </row>
    <row r="85">
      <c r="C85" s="2" t="s">
        <v>142</v>
      </c>
      <c r="D85" s="16">
        <f>D84*D65</f>
        <v>210000</v>
      </c>
      <c r="E85" s="2" t="s">
        <v>257</v>
      </c>
    </row>
    <row r="86">
      <c r="A86" s="1" t="s">
        <v>259</v>
      </c>
      <c r="B86" s="28"/>
      <c r="C86" s="1" t="s">
        <v>142</v>
      </c>
      <c r="D86" s="41">
        <f>D85+D82</f>
        <v>566824.264</v>
      </c>
    </row>
    <row r="87">
      <c r="A87" s="28"/>
      <c r="B87" s="28"/>
      <c r="C87" s="1" t="s">
        <v>264</v>
      </c>
      <c r="D87" s="41">
        <f>D86/1000</f>
        <v>566.824264</v>
      </c>
    </row>
    <row r="88">
      <c r="A88" s="46" t="s">
        <v>266</v>
      </c>
      <c r="B88" s="30"/>
      <c r="C88" s="46" t="s">
        <v>178</v>
      </c>
      <c r="D88" s="41">
        <f>D80*D45</f>
        <v>315360</v>
      </c>
      <c r="G88" s="50"/>
      <c r="K88" s="52"/>
      <c r="L88" s="50"/>
    </row>
    <row r="89">
      <c r="C89" s="2"/>
      <c r="D89" s="43">
        <f>D88*$D$41</f>
        <v>74526912</v>
      </c>
      <c r="G89" s="50"/>
      <c r="K89" s="52"/>
      <c r="L89" s="50"/>
    </row>
    <row r="90">
      <c r="A90" s="4" t="s">
        <v>275</v>
      </c>
      <c r="B90" s="6"/>
      <c r="C90" s="6"/>
      <c r="D90" s="6"/>
      <c r="E90" s="6"/>
      <c r="F90" s="6"/>
      <c r="G90" s="50"/>
      <c r="K90" s="52"/>
      <c r="L90" s="50"/>
    </row>
    <row r="91">
      <c r="C91" s="2"/>
      <c r="G91" s="50"/>
      <c r="K91" s="52"/>
      <c r="L91" s="50"/>
    </row>
    <row r="92">
      <c r="A92" s="2" t="s">
        <v>276</v>
      </c>
      <c r="B92" s="2" t="s">
        <v>277</v>
      </c>
      <c r="C92" s="2" t="s">
        <v>26</v>
      </c>
      <c r="D92" s="15">
        <f>'Propellant production'!D19</f>
        <v>50679.39862</v>
      </c>
      <c r="E92" s="2" t="s">
        <v>279</v>
      </c>
      <c r="G92" s="50"/>
      <c r="H92" s="2" t="s">
        <v>280</v>
      </c>
      <c r="I92" s="2" t="s">
        <v>281</v>
      </c>
      <c r="J92" s="2">
        <v>4.18</v>
      </c>
      <c r="K92" s="57" t="s">
        <v>283</v>
      </c>
      <c r="L92" s="50"/>
    </row>
    <row r="93">
      <c r="A93" s="2" t="s">
        <v>285</v>
      </c>
      <c r="B93" s="2" t="s">
        <v>44</v>
      </c>
      <c r="C93" s="2"/>
      <c r="D93" s="2">
        <v>1.3</v>
      </c>
      <c r="G93" s="50"/>
      <c r="K93" s="52"/>
      <c r="L93" s="50"/>
    </row>
    <row r="94">
      <c r="A94" s="2" t="s">
        <v>288</v>
      </c>
      <c r="B94" s="2" t="s">
        <v>29</v>
      </c>
      <c r="C94" s="2" t="s">
        <v>26</v>
      </c>
      <c r="D94" s="13">
        <f>D92*D93</f>
        <v>65883.2182</v>
      </c>
      <c r="G94" s="50"/>
      <c r="K94" s="52"/>
      <c r="L94" s="50"/>
    </row>
    <row r="95">
      <c r="A95" s="2" t="s">
        <v>296</v>
      </c>
      <c r="B95" s="2" t="s">
        <v>186</v>
      </c>
      <c r="C95" s="2" t="s">
        <v>187</v>
      </c>
      <c r="D95" s="16">
        <f>D45</f>
        <v>730</v>
      </c>
      <c r="G95" s="50"/>
      <c r="K95" s="52"/>
      <c r="L95" s="50"/>
    </row>
    <row r="96">
      <c r="A96" s="2" t="s">
        <v>298</v>
      </c>
      <c r="C96" s="2" t="s">
        <v>299</v>
      </c>
      <c r="D96" s="66">
        <v>8.0</v>
      </c>
      <c r="E96" s="2" t="s">
        <v>300</v>
      </c>
      <c r="G96" s="50"/>
      <c r="K96" s="52"/>
      <c r="L96" s="50"/>
    </row>
    <row r="97">
      <c r="A97" s="2" t="s">
        <v>301</v>
      </c>
      <c r="C97" s="2" t="s">
        <v>270</v>
      </c>
      <c r="D97" s="15">
        <f>D94*1000/(D95*D96)</f>
        <v>11281.37298</v>
      </c>
      <c r="G97" s="50"/>
      <c r="K97" s="52"/>
      <c r="L97" s="50"/>
    </row>
    <row r="98">
      <c r="A98" s="2" t="s">
        <v>312</v>
      </c>
      <c r="C98" s="2" t="s">
        <v>313</v>
      </c>
      <c r="D98" s="2">
        <v>334.0</v>
      </c>
      <c r="E98" s="2" t="s">
        <v>302</v>
      </c>
      <c r="G98" s="50"/>
      <c r="K98" s="52"/>
      <c r="L98" s="50"/>
    </row>
    <row r="99">
      <c r="A99" s="2" t="s">
        <v>314</v>
      </c>
      <c r="C99" s="2"/>
      <c r="E99" s="2" t="s">
        <v>315</v>
      </c>
      <c r="G99" s="50"/>
      <c r="K99" s="52"/>
      <c r="L99" s="50"/>
    </row>
    <row r="100">
      <c r="A100" s="2" t="s">
        <v>317</v>
      </c>
      <c r="C100" s="2"/>
      <c r="E100" s="2" t="s">
        <v>315</v>
      </c>
      <c r="G100" s="50"/>
      <c r="K100" s="52"/>
      <c r="L100" s="50"/>
    </row>
    <row r="101">
      <c r="A101" s="2" t="s">
        <v>318</v>
      </c>
      <c r="C101" s="2" t="s">
        <v>320</v>
      </c>
      <c r="D101" s="2">
        <v>4.18</v>
      </c>
      <c r="G101" s="50"/>
      <c r="K101" s="52"/>
      <c r="L101" s="50"/>
    </row>
    <row r="102">
      <c r="A102" s="2" t="s">
        <v>322</v>
      </c>
      <c r="C102" s="2" t="s">
        <v>323</v>
      </c>
      <c r="D102" s="2">
        <v>50.0</v>
      </c>
      <c r="G102" s="50"/>
      <c r="K102" s="52"/>
      <c r="L102" s="50"/>
    </row>
    <row r="103">
      <c r="C103" s="2"/>
      <c r="G103" s="50"/>
      <c r="K103" s="52"/>
      <c r="L103" s="50"/>
    </row>
    <row r="104">
      <c r="A104" s="2" t="s">
        <v>325</v>
      </c>
      <c r="C104" s="2" t="s">
        <v>178</v>
      </c>
      <c r="D104" s="13">
        <f>(D94*D98/1000)+(D102*D101*D94/1000)</f>
        <v>35774.58748</v>
      </c>
      <c r="E104" s="2" t="s">
        <v>331</v>
      </c>
      <c r="G104" s="50"/>
      <c r="K104" s="52"/>
      <c r="L104" s="50"/>
    </row>
    <row r="105">
      <c r="A105" s="2" t="s">
        <v>333</v>
      </c>
      <c r="B105" s="2"/>
      <c r="C105" s="2" t="s">
        <v>334</v>
      </c>
      <c r="D105" s="2">
        <f>'Propellant production'!D47</f>
        <v>210</v>
      </c>
      <c r="G105" s="50"/>
      <c r="K105" s="52"/>
      <c r="L105" s="50"/>
    </row>
    <row r="106">
      <c r="A106" s="2" t="s">
        <v>335</v>
      </c>
      <c r="B106" s="2"/>
      <c r="C106" s="2" t="s">
        <v>334</v>
      </c>
      <c r="D106" s="2">
        <v>293.0</v>
      </c>
      <c r="G106" s="50"/>
      <c r="K106" s="52"/>
      <c r="L106" s="50"/>
    </row>
    <row r="107">
      <c r="A107" s="2"/>
      <c r="B107" s="2"/>
      <c r="C107" s="2" t="s">
        <v>161</v>
      </c>
      <c r="D107" s="2">
        <f>D106-273</f>
        <v>20</v>
      </c>
      <c r="G107" s="50"/>
      <c r="K107" s="52"/>
      <c r="L107" s="50"/>
    </row>
    <row r="108">
      <c r="A108" s="2" t="s">
        <v>337</v>
      </c>
      <c r="B108" s="2" t="s">
        <v>338</v>
      </c>
      <c r="C108" s="2" t="s">
        <v>334</v>
      </c>
      <c r="D108" s="2">
        <f>D106-D105</f>
        <v>83</v>
      </c>
      <c r="E108" s="2" t="s">
        <v>340</v>
      </c>
      <c r="G108" s="50"/>
      <c r="K108" s="52"/>
      <c r="L108" s="50"/>
    </row>
    <row r="109">
      <c r="A109" s="2" t="s">
        <v>341</v>
      </c>
      <c r="B109" s="2" t="s">
        <v>342</v>
      </c>
      <c r="C109" s="2" t="s">
        <v>178</v>
      </c>
      <c r="D109" s="13">
        <f>(J92*D94*1000*D108)/1000000</f>
        <v>22857.52372</v>
      </c>
      <c r="G109" s="50"/>
      <c r="K109" s="52"/>
      <c r="L109" s="50"/>
    </row>
    <row r="110">
      <c r="C110" s="2"/>
      <c r="G110" s="50"/>
      <c r="K110" s="52"/>
      <c r="L110" s="50"/>
    </row>
    <row r="111">
      <c r="A111" s="1" t="s">
        <v>343</v>
      </c>
      <c r="C111" s="2" t="s">
        <v>344</v>
      </c>
      <c r="D111" s="2">
        <v>2.9</v>
      </c>
      <c r="E111" s="2" t="s">
        <v>345</v>
      </c>
      <c r="G111" s="50"/>
      <c r="K111" s="52"/>
      <c r="L111" s="50"/>
    </row>
    <row r="112">
      <c r="A112" s="2" t="s">
        <v>346</v>
      </c>
      <c r="C112" s="2"/>
      <c r="D112" s="10">
        <v>0.05</v>
      </c>
      <c r="G112" s="50"/>
      <c r="K112" s="52"/>
      <c r="L112" s="50"/>
    </row>
    <row r="113">
      <c r="A113" s="2" t="s">
        <v>347</v>
      </c>
      <c r="C113" s="2"/>
      <c r="D113" s="29">
        <v>20.0</v>
      </c>
      <c r="G113" s="50"/>
      <c r="K113" s="52"/>
      <c r="L113" s="50"/>
    </row>
    <row r="114">
      <c r="A114" s="2" t="s">
        <v>348</v>
      </c>
      <c r="C114" s="2" t="s">
        <v>26</v>
      </c>
      <c r="D114" s="13">
        <f>D113*D94</f>
        <v>1317664.364</v>
      </c>
      <c r="E114" s="2" t="s">
        <v>350</v>
      </c>
      <c r="G114" s="50"/>
      <c r="K114" s="52"/>
      <c r="L114" s="50"/>
    </row>
    <row r="115">
      <c r="A115" s="2" t="s">
        <v>351</v>
      </c>
      <c r="C115" s="2" t="s">
        <v>178</v>
      </c>
      <c r="D115" s="13">
        <f>D114/D111*0.0036</f>
        <v>1635.72128</v>
      </c>
      <c r="G115" s="50"/>
      <c r="K115" s="52"/>
      <c r="L115" s="50"/>
    </row>
    <row r="116">
      <c r="A116" s="2"/>
      <c r="C116" s="2"/>
      <c r="G116" s="50"/>
      <c r="K116" s="52"/>
      <c r="L116" s="50"/>
    </row>
    <row r="117">
      <c r="A117" s="1" t="s">
        <v>355</v>
      </c>
      <c r="C117" s="2"/>
      <c r="G117" s="50"/>
      <c r="K117" s="52"/>
      <c r="L117" s="50"/>
    </row>
    <row r="118">
      <c r="A118" s="2" t="s">
        <v>356</v>
      </c>
      <c r="C118" s="2" t="s">
        <v>213</v>
      </c>
      <c r="D118" s="2">
        <v>2.0</v>
      </c>
      <c r="E118" s="2" t="s">
        <v>357</v>
      </c>
      <c r="G118" s="50"/>
      <c r="K118" s="52"/>
      <c r="L118" s="50"/>
    </row>
    <row r="119">
      <c r="A119" s="2" t="s">
        <v>360</v>
      </c>
      <c r="C119" s="2" t="s">
        <v>26</v>
      </c>
      <c r="D119" s="2">
        <v>2.0</v>
      </c>
      <c r="G119" s="50"/>
      <c r="K119" s="52"/>
      <c r="L119" s="50"/>
    </row>
    <row r="120">
      <c r="A120" s="2" t="s">
        <v>361</v>
      </c>
      <c r="C120" s="2" t="s">
        <v>213</v>
      </c>
      <c r="D120" s="13">
        <f>D94*D113*D118/D119</f>
        <v>1317664.364</v>
      </c>
      <c r="G120" s="50"/>
      <c r="K120" s="52"/>
      <c r="L120" s="50"/>
    </row>
    <row r="121">
      <c r="A121" s="2" t="s">
        <v>363</v>
      </c>
      <c r="C121" s="2" t="s">
        <v>222</v>
      </c>
      <c r="D121">
        <f>D59</f>
        <v>700</v>
      </c>
      <c r="E121" s="2" t="s">
        <v>364</v>
      </c>
      <c r="G121" s="50"/>
      <c r="K121" s="52"/>
      <c r="L121" s="50"/>
    </row>
    <row r="122">
      <c r="C122" s="2" t="s">
        <v>178</v>
      </c>
      <c r="D122" s="27">
        <f>D120/D121</f>
        <v>1882.377663</v>
      </c>
      <c r="G122" s="50"/>
      <c r="K122" s="52"/>
      <c r="L122" s="50"/>
    </row>
    <row r="123">
      <c r="C123" s="2"/>
      <c r="D123" s="32"/>
      <c r="G123" s="50"/>
      <c r="K123" s="52"/>
      <c r="L123" s="50"/>
    </row>
    <row r="124">
      <c r="A124" s="46" t="s">
        <v>365</v>
      </c>
      <c r="B124" s="30"/>
      <c r="C124" s="46" t="s">
        <v>178</v>
      </c>
      <c r="D124" s="41">
        <f>D122+D115+D109+D104</f>
        <v>62150.21015</v>
      </c>
      <c r="G124" s="50"/>
      <c r="K124" s="52"/>
      <c r="L124" s="50"/>
    </row>
    <row r="125">
      <c r="C125" s="2" t="s">
        <v>228</v>
      </c>
      <c r="D125" s="27">
        <f>D124/D95</f>
        <v>85.13727418</v>
      </c>
      <c r="G125" s="50"/>
      <c r="K125" s="52"/>
      <c r="L125" s="50"/>
    </row>
    <row r="126">
      <c r="A126" s="2" t="s">
        <v>369</v>
      </c>
      <c r="C126" s="2" t="s">
        <v>4</v>
      </c>
      <c r="D126" s="42">
        <f>D125*1000000000/D26</f>
        <v>20091.96111</v>
      </c>
      <c r="G126" s="50"/>
      <c r="K126" s="52"/>
      <c r="L126" s="50"/>
    </row>
    <row r="127">
      <c r="C127" s="2" t="s">
        <v>32</v>
      </c>
      <c r="D127" s="42">
        <f>D126*D33/1000</f>
        <v>70.32186389</v>
      </c>
      <c r="G127" s="50"/>
      <c r="K127" s="52"/>
      <c r="L127" s="50"/>
    </row>
    <row r="128">
      <c r="A128" s="26"/>
      <c r="B128" s="26"/>
      <c r="C128" s="25"/>
      <c r="D128" s="98">
        <f>D124*$D$41/1000</f>
        <v>14687.54199</v>
      </c>
      <c r="G128" s="50"/>
      <c r="K128" s="52"/>
      <c r="L128" s="50"/>
    </row>
    <row r="129">
      <c r="A129" s="46" t="s">
        <v>373</v>
      </c>
      <c r="B129" s="30"/>
      <c r="C129" s="46" t="s">
        <v>178</v>
      </c>
      <c r="D129" s="41">
        <f>D124+D88+D70+D44</f>
        <v>1553597.665</v>
      </c>
      <c r="G129" s="50"/>
      <c r="K129" s="52"/>
      <c r="L129" s="50"/>
    </row>
    <row r="130">
      <c r="A130" s="2"/>
      <c r="D130" s="42"/>
      <c r="G130" s="50"/>
      <c r="K130" s="52"/>
      <c r="L130" s="50"/>
    </row>
    <row r="131">
      <c r="A131" s="2" t="s">
        <v>378</v>
      </c>
      <c r="C131" s="2"/>
      <c r="D131" s="43">
        <f>D129*$D$41</f>
        <v>367151308</v>
      </c>
      <c r="G131" s="50"/>
      <c r="K131" s="52"/>
      <c r="L131" s="50"/>
    </row>
    <row r="132">
      <c r="A132" s="104" t="s">
        <v>379</v>
      </c>
      <c r="B132" s="50"/>
      <c r="C132" s="50"/>
      <c r="D132" s="109">
        <f>D131/D45/E136</f>
        <v>502.9469972</v>
      </c>
      <c r="E132" s="50"/>
      <c r="F132" s="110"/>
      <c r="G132" s="50"/>
      <c r="K132" s="52"/>
      <c r="L132" s="50"/>
    </row>
    <row r="133">
      <c r="A133" s="104" t="s">
        <v>384</v>
      </c>
      <c r="B133" s="50"/>
      <c r="C133" s="50"/>
      <c r="D133" s="109">
        <f>D132*365</f>
        <v>183575.654</v>
      </c>
      <c r="E133" s="50"/>
      <c r="F133" s="110"/>
      <c r="G133" s="50"/>
      <c r="K133" s="52"/>
      <c r="L133" s="50"/>
    </row>
    <row r="134">
      <c r="A134" s="115" t="s">
        <v>387</v>
      </c>
      <c r="B134" s="117"/>
      <c r="C134" s="118"/>
      <c r="D134" s="118"/>
      <c r="E134" s="118"/>
      <c r="F134" s="120"/>
      <c r="G134" s="50"/>
      <c r="K134" s="121" t="s">
        <v>391</v>
      </c>
      <c r="L134" s="50"/>
    </row>
    <row r="135">
      <c r="A135" s="50"/>
      <c r="B135" s="50"/>
      <c r="C135" s="50"/>
      <c r="D135" s="110" t="s">
        <v>392</v>
      </c>
      <c r="E135" s="125" t="s">
        <v>393</v>
      </c>
      <c r="F135" s="125" t="s">
        <v>396</v>
      </c>
      <c r="G135" s="50"/>
      <c r="K135" s="126">
        <v>0.771</v>
      </c>
      <c r="L135" s="130" t="s">
        <v>397</v>
      </c>
    </row>
    <row r="136">
      <c r="A136" s="132" t="s">
        <v>402</v>
      </c>
      <c r="B136" s="50"/>
      <c r="C136" s="50"/>
      <c r="D136" s="50"/>
      <c r="E136" s="135">
        <v>1000.0</v>
      </c>
      <c r="F136" s="50"/>
      <c r="G136" s="50"/>
      <c r="K136" s="126">
        <v>1.75</v>
      </c>
      <c r="L136" s="50" t="s">
        <v>407</v>
      </c>
    </row>
    <row r="137">
      <c r="A137" s="50" t="s">
        <v>408</v>
      </c>
      <c r="B137" s="50" t="s">
        <v>409</v>
      </c>
      <c r="C137" s="50" t="s">
        <v>411</v>
      </c>
      <c r="D137" s="137">
        <v>0.77</v>
      </c>
      <c r="E137" s="139">
        <f t="shared" ref="E137:E144" si="1">D137*$E$136</f>
        <v>770</v>
      </c>
      <c r="F137" s="140">
        <v>32.0</v>
      </c>
      <c r="G137" s="132" t="s">
        <v>412</v>
      </c>
      <c r="K137" s="126">
        <v>4000.0</v>
      </c>
      <c r="L137" s="50" t="s">
        <v>413</v>
      </c>
    </row>
    <row r="138">
      <c r="A138" s="142" t="s">
        <v>287</v>
      </c>
      <c r="B138" s="142" t="s">
        <v>415</v>
      </c>
      <c r="C138" s="142" t="s">
        <v>411</v>
      </c>
      <c r="D138" s="146">
        <f>D137*F138/F137</f>
        <v>0.721875</v>
      </c>
      <c r="E138" s="139">
        <f t="shared" si="1"/>
        <v>721.875</v>
      </c>
      <c r="F138" s="140">
        <f>12+2+16</f>
        <v>30</v>
      </c>
      <c r="G138" s="132" t="s">
        <v>418</v>
      </c>
      <c r="K138" s="150">
        <f>K137/100/100/100/K136</f>
        <v>0.002285714286</v>
      </c>
      <c r="L138" s="142" t="s">
        <v>421</v>
      </c>
    </row>
    <row r="139">
      <c r="A139" s="50" t="s">
        <v>422</v>
      </c>
      <c r="B139" s="50" t="s">
        <v>423</v>
      </c>
      <c r="C139" s="50" t="s">
        <v>411</v>
      </c>
      <c r="D139" s="146">
        <f>D138+D137</f>
        <v>1.491875</v>
      </c>
      <c r="E139" s="139">
        <f t="shared" si="1"/>
        <v>1491.875</v>
      </c>
      <c r="F139" s="140">
        <f>F138+F137</f>
        <v>62</v>
      </c>
      <c r="G139" s="132" t="s">
        <v>430</v>
      </c>
      <c r="K139" s="50"/>
      <c r="L139" s="50"/>
    </row>
    <row r="140">
      <c r="A140" s="50" t="s">
        <v>433</v>
      </c>
      <c r="B140" s="50"/>
      <c r="C140" s="50" t="s">
        <v>411</v>
      </c>
      <c r="D140" s="146">
        <f>F140/F139*D139</f>
        <v>1.05875</v>
      </c>
      <c r="E140" s="139">
        <f t="shared" si="1"/>
        <v>1058.75</v>
      </c>
      <c r="F140" s="140">
        <f>32+12</f>
        <v>44</v>
      </c>
      <c r="G140" s="132" t="s">
        <v>441</v>
      </c>
    </row>
    <row r="141">
      <c r="A141" s="50" t="s">
        <v>442</v>
      </c>
      <c r="B141" s="50"/>
      <c r="C141" s="50" t="s">
        <v>411</v>
      </c>
      <c r="D141" s="146">
        <f>F141/F139*D139</f>
        <v>0.433125</v>
      </c>
      <c r="E141" s="139">
        <f t="shared" si="1"/>
        <v>433.125</v>
      </c>
      <c r="F141" s="140">
        <f>16+2</f>
        <v>18</v>
      </c>
      <c r="G141" s="132" t="s">
        <v>445</v>
      </c>
    </row>
    <row r="142">
      <c r="A142" s="50" t="s">
        <v>446</v>
      </c>
      <c r="B142" s="50"/>
      <c r="C142" s="50" t="s">
        <v>411</v>
      </c>
      <c r="D142" s="157">
        <v>2.0</v>
      </c>
      <c r="E142" s="139">
        <f t="shared" si="1"/>
        <v>2000</v>
      </c>
      <c r="F142" s="110"/>
      <c r="G142" s="132" t="s">
        <v>448</v>
      </c>
    </row>
    <row r="143">
      <c r="A143" s="50" t="s">
        <v>449</v>
      </c>
      <c r="B143" s="50"/>
      <c r="C143" s="50" t="s">
        <v>411</v>
      </c>
      <c r="D143" s="159">
        <f>D142+D138</f>
        <v>2.721875</v>
      </c>
      <c r="E143" s="139">
        <f t="shared" si="1"/>
        <v>2721.875</v>
      </c>
      <c r="F143" s="110"/>
      <c r="G143" s="132" t="s">
        <v>451</v>
      </c>
    </row>
    <row r="144">
      <c r="A144" s="2" t="s">
        <v>453</v>
      </c>
      <c r="C144" s="2" t="s">
        <v>411</v>
      </c>
      <c r="D144" s="161">
        <v>7.0</v>
      </c>
      <c r="E144" s="139">
        <f t="shared" si="1"/>
        <v>7000</v>
      </c>
      <c r="G144" s="2" t="s">
        <v>455</v>
      </c>
    </row>
    <row r="146">
      <c r="A146" s="2" t="s">
        <v>456</v>
      </c>
      <c r="D146" s="163">
        <v>0.85</v>
      </c>
      <c r="E146" s="163">
        <v>0.85</v>
      </c>
      <c r="G146" s="2" t="s">
        <v>457</v>
      </c>
    </row>
    <row r="147">
      <c r="A147" s="2" t="s">
        <v>458</v>
      </c>
      <c r="C147" s="2" t="s">
        <v>187</v>
      </c>
      <c r="D147" s="166">
        <f>4*365</f>
        <v>1460</v>
      </c>
      <c r="E147" s="166">
        <f>D147</f>
        <v>1460</v>
      </c>
      <c r="G147" s="2" t="s">
        <v>461</v>
      </c>
    </row>
    <row r="148">
      <c r="A148" s="2"/>
      <c r="C148" s="2" t="s">
        <v>144</v>
      </c>
      <c r="D148" s="168">
        <f t="shared" ref="D148:E148" si="2">D147/365</f>
        <v>4</v>
      </c>
      <c r="E148" s="168">
        <f t="shared" si="2"/>
        <v>4</v>
      </c>
    </row>
    <row r="149">
      <c r="A149" s="1" t="s">
        <v>465</v>
      </c>
      <c r="B149" s="28"/>
      <c r="C149" s="1" t="s">
        <v>142</v>
      </c>
      <c r="D149" s="168">
        <f t="shared" ref="D149:E149" si="3">D143*D147</f>
        <v>3973.9375</v>
      </c>
      <c r="E149" s="168">
        <f t="shared" si="3"/>
        <v>3973937.5</v>
      </c>
    </row>
    <row r="150">
      <c r="A150" s="2" t="s">
        <v>467</v>
      </c>
      <c r="C150" s="2" t="s">
        <v>142</v>
      </c>
      <c r="D150" s="169">
        <f t="shared" ref="D150:E150" si="4">D144*D147</f>
        <v>10220</v>
      </c>
      <c r="E150" s="169">
        <f t="shared" si="4"/>
        <v>10220000</v>
      </c>
    </row>
    <row r="151">
      <c r="A151" s="1" t="s">
        <v>469</v>
      </c>
      <c r="B151" s="28"/>
      <c r="C151" s="1" t="s">
        <v>142</v>
      </c>
      <c r="D151" s="168">
        <f t="shared" ref="D151:E151" si="5">D144*(1-D146)*D147+D144</f>
        <v>1540</v>
      </c>
      <c r="E151" s="168">
        <f t="shared" si="5"/>
        <v>1540000</v>
      </c>
      <c r="G151" s="2" t="s">
        <v>474</v>
      </c>
    </row>
    <row r="152">
      <c r="A152" s="2" t="s">
        <v>475</v>
      </c>
      <c r="C152" s="2" t="s">
        <v>142</v>
      </c>
      <c r="D152" s="169">
        <f t="shared" ref="D152:E152" si="6">D137*D147</f>
        <v>1124.2</v>
      </c>
      <c r="E152" s="169">
        <f t="shared" si="6"/>
        <v>1124200</v>
      </c>
    </row>
    <row r="153">
      <c r="A153" s="1" t="s">
        <v>476</v>
      </c>
      <c r="B153" s="170"/>
      <c r="C153" s="1" t="s">
        <v>142</v>
      </c>
      <c r="D153" s="168">
        <f t="shared" ref="D153:E153" si="7">D137*(1-D146)*D147+D137</f>
        <v>169.4</v>
      </c>
      <c r="E153" s="168">
        <f t="shared" si="7"/>
        <v>169400</v>
      </c>
      <c r="G153" s="2" t="s">
        <v>479</v>
      </c>
    </row>
    <row r="154">
      <c r="B154" s="10"/>
    </row>
    <row r="155">
      <c r="A155" s="1" t="s">
        <v>480</v>
      </c>
      <c r="G155" s="2" t="s">
        <v>481</v>
      </c>
      <c r="H155" s="2" t="s">
        <v>482</v>
      </c>
    </row>
    <row r="156">
      <c r="A156" s="1" t="s">
        <v>402</v>
      </c>
      <c r="D156" s="112">
        <f>E136</f>
        <v>1000</v>
      </c>
      <c r="G156" s="2">
        <v>70000.0</v>
      </c>
      <c r="H156" s="2" t="s">
        <v>483</v>
      </c>
    </row>
    <row r="157">
      <c r="A157" s="2" t="s">
        <v>484</v>
      </c>
      <c r="C157" s="2" t="s">
        <v>485</v>
      </c>
      <c r="D157" s="173">
        <f>D143</f>
        <v>2.721875</v>
      </c>
      <c r="G157" s="2">
        <v>2000000.0</v>
      </c>
      <c r="H157" s="2" t="s">
        <v>488</v>
      </c>
    </row>
    <row r="158">
      <c r="A158" s="2" t="s">
        <v>489</v>
      </c>
      <c r="C158" s="2" t="s">
        <v>142</v>
      </c>
      <c r="D158" s="15">
        <f>D157*D156*365</f>
        <v>993484.375</v>
      </c>
      <c r="G158" s="13">
        <f>G156/10.8</f>
        <v>6481.481481</v>
      </c>
      <c r="H158" s="2" t="s">
        <v>4</v>
      </c>
    </row>
    <row r="159">
      <c r="A159" s="2" t="s">
        <v>493</v>
      </c>
      <c r="C159" s="2"/>
      <c r="D159" s="14">
        <v>1.5</v>
      </c>
      <c r="G159" s="13">
        <f>G157/2.2</f>
        <v>909090.9091</v>
      </c>
      <c r="H159" s="2" t="s">
        <v>142</v>
      </c>
    </row>
    <row r="160">
      <c r="A160" s="1" t="s">
        <v>494</v>
      </c>
      <c r="B160" s="28"/>
      <c r="C160" s="1" t="s">
        <v>87</v>
      </c>
      <c r="D160" s="1">
        <v>30.0</v>
      </c>
      <c r="E160" s="1" t="s">
        <v>495</v>
      </c>
      <c r="G160" s="13">
        <f>G159/G158</f>
        <v>140.2597403</v>
      </c>
      <c r="H160" s="2" t="s">
        <v>87</v>
      </c>
      <c r="I160" s="177" t="s">
        <v>496</v>
      </c>
    </row>
    <row r="161">
      <c r="A161" s="2"/>
      <c r="C161" s="2" t="s">
        <v>498</v>
      </c>
      <c r="D161" s="23">
        <f>D160/10</f>
        <v>3</v>
      </c>
      <c r="I161" s="177" t="s">
        <v>499</v>
      </c>
    </row>
    <row r="162">
      <c r="A162" s="2"/>
      <c r="C162" s="2" t="s">
        <v>500</v>
      </c>
      <c r="D162" s="23">
        <f>D161/2.471</f>
        <v>1.214083367</v>
      </c>
      <c r="I162" s="177" t="s">
        <v>501</v>
      </c>
    </row>
    <row r="163">
      <c r="A163" s="2" t="s">
        <v>502</v>
      </c>
      <c r="C163" s="2" t="s">
        <v>87</v>
      </c>
      <c r="D163" s="15">
        <f>D160</f>
        <v>30</v>
      </c>
      <c r="I163" s="177" t="s">
        <v>504</v>
      </c>
    </row>
    <row r="164">
      <c r="A164" s="2" t="s">
        <v>506</v>
      </c>
      <c r="C164" s="2" t="s">
        <v>4</v>
      </c>
      <c r="D164" s="15">
        <f>D158*D159/D160</f>
        <v>49674.21875</v>
      </c>
      <c r="I164" s="177" t="s">
        <v>507</v>
      </c>
    </row>
    <row r="165">
      <c r="A165" s="2"/>
      <c r="C165" s="2" t="s">
        <v>508</v>
      </c>
      <c r="D165" s="45">
        <f>D164/10000</f>
        <v>4.967421875</v>
      </c>
      <c r="E165" s="2"/>
      <c r="I165" s="177" t="s">
        <v>510</v>
      </c>
    </row>
    <row r="166">
      <c r="A166" s="2" t="s">
        <v>514</v>
      </c>
      <c r="C166" s="2" t="s">
        <v>41</v>
      </c>
      <c r="D166" s="2">
        <v>300.0</v>
      </c>
      <c r="E166" s="2" t="s">
        <v>516</v>
      </c>
      <c r="I166" s="183"/>
    </row>
    <row r="167">
      <c r="A167" s="2" t="s">
        <v>517</v>
      </c>
      <c r="C167" s="2" t="s">
        <v>93</v>
      </c>
      <c r="D167" s="15">
        <f>D166*D164</f>
        <v>14902265.63</v>
      </c>
      <c r="I167" s="185" t="s">
        <v>518</v>
      </c>
    </row>
    <row r="168">
      <c r="A168" s="2"/>
      <c r="C168" s="2" t="s">
        <v>520</v>
      </c>
      <c r="D168" s="45">
        <f>D167/1000000</f>
        <v>14.90226563</v>
      </c>
    </row>
    <row r="169">
      <c r="A169" s="2" t="s">
        <v>522</v>
      </c>
      <c r="D169" s="2">
        <v>8000.0</v>
      </c>
      <c r="E169" s="2" t="s">
        <v>523</v>
      </c>
    </row>
    <row r="170">
      <c r="A170" s="2" t="s">
        <v>524</v>
      </c>
      <c r="C170" s="2" t="s">
        <v>125</v>
      </c>
      <c r="D170" s="15">
        <f>D169*D167/1000</f>
        <v>119218125</v>
      </c>
    </row>
    <row r="171">
      <c r="C171" s="2" t="s">
        <v>178</v>
      </c>
      <c r="D171" s="15">
        <f>D170*0.0036</f>
        <v>429185.25</v>
      </c>
    </row>
    <row r="172">
      <c r="C172" s="2" t="s">
        <v>228</v>
      </c>
      <c r="D172" s="15">
        <f>D171/365</f>
        <v>1175.85</v>
      </c>
    </row>
    <row r="173">
      <c r="A173" s="2" t="s">
        <v>529</v>
      </c>
      <c r="C173" s="2" t="s">
        <v>4</v>
      </c>
      <c r="D173" s="15">
        <f>D172*1000000000/D26</f>
        <v>277494.5839</v>
      </c>
    </row>
    <row r="174">
      <c r="A174" s="2" t="s">
        <v>531</v>
      </c>
      <c r="C174" s="2" t="s">
        <v>32</v>
      </c>
      <c r="D174" s="15">
        <f>D173*D33/1000</f>
        <v>971.2310437</v>
      </c>
    </row>
    <row r="175">
      <c r="C175" s="2" t="s">
        <v>532</v>
      </c>
      <c r="D175" s="15">
        <f>D158/365/1000</f>
        <v>2.721875</v>
      </c>
    </row>
    <row r="176">
      <c r="C176" s="2" t="s">
        <v>533</v>
      </c>
      <c r="D176" s="15">
        <f>D172/D175</f>
        <v>432</v>
      </c>
    </row>
    <row r="177">
      <c r="C177" s="2" t="s">
        <v>167</v>
      </c>
      <c r="D177" s="15">
        <f>D41</f>
        <v>236.3232877</v>
      </c>
    </row>
    <row r="178">
      <c r="A178" s="25" t="s">
        <v>534</v>
      </c>
      <c r="B178" s="26"/>
      <c r="C178" s="26"/>
      <c r="D178" s="188">
        <f>D177*D171</f>
        <v>101426469.3</v>
      </c>
    </row>
    <row r="179">
      <c r="A179" s="1" t="s">
        <v>535</v>
      </c>
      <c r="D179" s="189">
        <f>D178/D156</f>
        <v>101426.4693</v>
      </c>
    </row>
    <row r="181">
      <c r="A181" s="2"/>
      <c r="B181" s="2"/>
      <c r="C181" s="2"/>
    </row>
    <row r="182">
      <c r="A182" s="2" t="s">
        <v>536</v>
      </c>
      <c r="B182" s="2" t="s">
        <v>537</v>
      </c>
      <c r="C182" s="2" t="s">
        <v>538</v>
      </c>
    </row>
    <row r="184">
      <c r="A184" s="2" t="s">
        <v>539</v>
      </c>
    </row>
    <row r="186">
      <c r="A186" s="2" t="s">
        <v>540</v>
      </c>
      <c r="C186" s="190" t="s">
        <v>228</v>
      </c>
      <c r="D186" s="192" t="s">
        <v>541</v>
      </c>
      <c r="E186" s="14" t="s">
        <v>542</v>
      </c>
    </row>
    <row r="187">
      <c r="A187" s="2" t="s">
        <v>530</v>
      </c>
      <c r="B187" s="193">
        <f t="shared" ref="B187:B191" si="8">C187/$C$192</f>
        <v>0.4858754122</v>
      </c>
      <c r="C187" s="169">
        <f>D46</f>
        <v>1605.36442</v>
      </c>
      <c r="D187" s="194">
        <f t="shared" ref="D187:D191" si="9">C187*$D$41*365</f>
        <v>138475524.1</v>
      </c>
      <c r="E187" s="41">
        <f>D49</f>
        <v>1326.002263</v>
      </c>
    </row>
    <row r="188">
      <c r="A188" s="2" t="s">
        <v>544</v>
      </c>
      <c r="B188" s="193">
        <f t="shared" si="8"/>
        <v>0.001729470825</v>
      </c>
      <c r="C188" s="195">
        <f>D61</f>
        <v>5.714285714</v>
      </c>
      <c r="D188" s="194">
        <f t="shared" si="9"/>
        <v>492902.8571</v>
      </c>
      <c r="E188" s="41">
        <f>D69</f>
        <v>6.3</v>
      </c>
    </row>
    <row r="189">
      <c r="A189" s="2" t="s">
        <v>545</v>
      </c>
      <c r="B189" s="193">
        <f t="shared" si="8"/>
        <v>0.1307479943</v>
      </c>
      <c r="C189" s="169">
        <f>D80</f>
        <v>432</v>
      </c>
      <c r="D189" s="194">
        <f t="shared" si="9"/>
        <v>37263456</v>
      </c>
      <c r="E189" s="41">
        <f>D83</f>
        <v>356.824264</v>
      </c>
      <c r="F189" s="2" t="s">
        <v>546</v>
      </c>
    </row>
    <row r="190">
      <c r="A190" s="2" t="s">
        <v>547</v>
      </c>
      <c r="B190" s="193">
        <f t="shared" si="8"/>
        <v>0.02576742556</v>
      </c>
      <c r="C190" s="195">
        <f>D125</f>
        <v>85.13727418</v>
      </c>
      <c r="D190" s="194">
        <f t="shared" si="9"/>
        <v>7343770.996</v>
      </c>
      <c r="E190" s="196">
        <f>D127</f>
        <v>70.32186389</v>
      </c>
    </row>
    <row r="191">
      <c r="A191" s="25" t="s">
        <v>549</v>
      </c>
      <c r="B191" s="197">
        <f t="shared" si="8"/>
        <v>0.3558796971</v>
      </c>
      <c r="C191" s="198">
        <f>D172</f>
        <v>1175.85</v>
      </c>
      <c r="D191" s="199">
        <f t="shared" si="9"/>
        <v>101426469.3</v>
      </c>
      <c r="E191" s="200">
        <f>D174</f>
        <v>971.2310437</v>
      </c>
    </row>
    <row r="192">
      <c r="A192" s="1" t="s">
        <v>183</v>
      </c>
      <c r="B192" s="28"/>
      <c r="C192" s="201">
        <f t="shared" ref="C192:D192" si="10">SUM(C187:C191)</f>
        <v>3304.06598</v>
      </c>
      <c r="D192" s="202">
        <f t="shared" si="10"/>
        <v>285002123.3</v>
      </c>
      <c r="E192" s="203">
        <f>E191+E190+E189+E188+E187</f>
        <v>2730.679435</v>
      </c>
    </row>
    <row r="193">
      <c r="A193" s="2" t="s">
        <v>550</v>
      </c>
      <c r="B193" s="2"/>
      <c r="C193" s="204"/>
      <c r="D193" s="205">
        <f>D192/E136</f>
        <v>285002.1233</v>
      </c>
    </row>
    <row r="194">
      <c r="D194" s="206"/>
    </row>
    <row r="195">
      <c r="A195" s="2" t="s">
        <v>551</v>
      </c>
      <c r="C195" s="2" t="s">
        <v>4</v>
      </c>
      <c r="D195" s="207">
        <f>C192*1000000000/D26</f>
        <v>779742.6664</v>
      </c>
    </row>
    <row r="196">
      <c r="C196" s="2" t="s">
        <v>552</v>
      </c>
      <c r="D196" s="123">
        <f>D195/10000</f>
        <v>77.97426664</v>
      </c>
    </row>
    <row r="197">
      <c r="C197" s="2" t="s">
        <v>520</v>
      </c>
      <c r="D197" s="71">
        <f>D195*D27/1000000</f>
        <v>38.2415044</v>
      </c>
      <c r="E197" s="1"/>
    </row>
    <row r="198">
      <c r="C198" s="2"/>
      <c r="D198" s="13"/>
    </row>
    <row r="199">
      <c r="A199" s="1" t="s">
        <v>553</v>
      </c>
    </row>
    <row r="200">
      <c r="A200" s="2" t="s">
        <v>462</v>
      </c>
      <c r="C200" s="2" t="s">
        <v>554</v>
      </c>
      <c r="D200" s="29">
        <f>D197</f>
        <v>38.2415044</v>
      </c>
      <c r="F200" s="2" t="s">
        <v>556</v>
      </c>
    </row>
    <row r="201">
      <c r="A201" s="2" t="s">
        <v>113</v>
      </c>
      <c r="C201" s="2" t="s">
        <v>557</v>
      </c>
      <c r="D201" s="2">
        <v>23.0</v>
      </c>
      <c r="F201" s="2" t="s">
        <v>558</v>
      </c>
    </row>
    <row r="202">
      <c r="A202" s="2" t="s">
        <v>559</v>
      </c>
      <c r="C202" s="2" t="s">
        <v>26</v>
      </c>
      <c r="D202" s="13">
        <f>D200*D201</f>
        <v>879.5546011</v>
      </c>
      <c r="F202" s="2" t="s">
        <v>560</v>
      </c>
    </row>
    <row r="203">
      <c r="C203" s="2" t="s">
        <v>80</v>
      </c>
      <c r="D203" s="2">
        <v>37.0</v>
      </c>
      <c r="F203" s="2" t="s">
        <v>561</v>
      </c>
    </row>
    <row r="204">
      <c r="C204" s="2" t="s">
        <v>142</v>
      </c>
      <c r="D204" s="13">
        <f>D200*1000000/D203</f>
        <v>1033554.173</v>
      </c>
    </row>
    <row r="205">
      <c r="C205" s="2" t="s">
        <v>26</v>
      </c>
      <c r="D205" s="13">
        <f>D204/1000</f>
        <v>1033.554173</v>
      </c>
    </row>
    <row r="207">
      <c r="A207" s="1" t="s">
        <v>562</v>
      </c>
      <c r="G207" s="2" t="s">
        <v>563</v>
      </c>
    </row>
    <row r="208">
      <c r="A208" s="2" t="s">
        <v>393</v>
      </c>
      <c r="D208" s="42">
        <f>E136</f>
        <v>1000</v>
      </c>
      <c r="G208" s="2" t="s">
        <v>74</v>
      </c>
      <c r="H208" s="2" t="s">
        <v>565</v>
      </c>
      <c r="I208" s="2" t="s">
        <v>566</v>
      </c>
    </row>
    <row r="209">
      <c r="A209" s="2" t="s">
        <v>567</v>
      </c>
      <c r="C209" s="2" t="s">
        <v>4</v>
      </c>
      <c r="D209" s="2">
        <v>30.0</v>
      </c>
      <c r="E209" s="193">
        <f t="shared" ref="E209:E214" si="11">D209/$D$217</f>
        <v>0.1504902691</v>
      </c>
      <c r="F209">
        <f t="shared" ref="F209:F214" si="12">D209*$D$208</f>
        <v>30000</v>
      </c>
      <c r="G209" s="2">
        <v>200.0</v>
      </c>
      <c r="H209" s="71">
        <v>1.0</v>
      </c>
      <c r="I209" s="13">
        <f t="shared" ref="I209:I214" si="13">F209/G209/H209/$D$220</f>
        <v>15</v>
      </c>
      <c r="J209" s="13">
        <f>I209+I210+I211+I212/2</f>
        <v>40</v>
      </c>
    </row>
    <row r="210">
      <c r="A210" s="2" t="s">
        <v>570</v>
      </c>
      <c r="C210" s="2" t="s">
        <v>4</v>
      </c>
      <c r="D210" s="2">
        <v>30.0</v>
      </c>
      <c r="E210" s="193">
        <f t="shared" si="11"/>
        <v>0.1504902691</v>
      </c>
      <c r="F210">
        <f t="shared" si="12"/>
        <v>30000</v>
      </c>
      <c r="G210" s="2">
        <v>200.0</v>
      </c>
      <c r="H210" s="2">
        <v>1.2</v>
      </c>
      <c r="I210" s="13">
        <f t="shared" si="13"/>
        <v>12.5</v>
      </c>
    </row>
    <row r="211">
      <c r="A211" s="2" t="s">
        <v>571</v>
      </c>
      <c r="C211" s="2" t="s">
        <v>4</v>
      </c>
      <c r="D211" s="2">
        <v>10.0</v>
      </c>
      <c r="E211" s="193">
        <f t="shared" si="11"/>
        <v>0.05016342303</v>
      </c>
      <c r="F211">
        <f t="shared" si="12"/>
        <v>10000</v>
      </c>
      <c r="G211" s="2">
        <v>200.0</v>
      </c>
      <c r="H211" s="2">
        <v>1.0</v>
      </c>
      <c r="I211" s="13">
        <f t="shared" si="13"/>
        <v>5</v>
      </c>
    </row>
    <row r="212">
      <c r="A212" s="2" t="s">
        <v>572</v>
      </c>
      <c r="C212" s="2" t="s">
        <v>4</v>
      </c>
      <c r="D212" s="2">
        <v>30.0</v>
      </c>
      <c r="E212" s="193">
        <f t="shared" si="11"/>
        <v>0.1504902691</v>
      </c>
      <c r="F212">
        <f t="shared" si="12"/>
        <v>30000</v>
      </c>
      <c r="G212" s="2">
        <v>200.0</v>
      </c>
      <c r="H212" s="2">
        <v>1.0</v>
      </c>
      <c r="I212" s="13">
        <f t="shared" si="13"/>
        <v>15</v>
      </c>
    </row>
    <row r="213">
      <c r="A213" s="2" t="s">
        <v>573</v>
      </c>
      <c r="C213" s="2" t="s">
        <v>4</v>
      </c>
      <c r="D213" s="13">
        <f>D164/D208</f>
        <v>49.67421875</v>
      </c>
      <c r="E213" s="193">
        <f t="shared" si="11"/>
        <v>0.2491828849</v>
      </c>
      <c r="F213" s="13">
        <f t="shared" si="12"/>
        <v>49674.21875</v>
      </c>
      <c r="G213" s="2">
        <v>300.0</v>
      </c>
      <c r="H213" s="2">
        <v>1.8</v>
      </c>
      <c r="I213" s="13">
        <f t="shared" si="13"/>
        <v>9.198929398</v>
      </c>
    </row>
    <row r="214">
      <c r="A214" s="2" t="s">
        <v>574</v>
      </c>
      <c r="C214" s="2" t="s">
        <v>4</v>
      </c>
      <c r="D214" s="13">
        <f>D213</f>
        <v>49.67421875</v>
      </c>
      <c r="E214" s="193">
        <f t="shared" si="11"/>
        <v>0.2491828849</v>
      </c>
      <c r="F214" s="13">
        <f t="shared" si="12"/>
        <v>49674.21875</v>
      </c>
      <c r="G214" s="2">
        <v>300.0</v>
      </c>
      <c r="H214" s="2">
        <v>1.8</v>
      </c>
      <c r="I214" s="13">
        <f t="shared" si="13"/>
        <v>9.198929398</v>
      </c>
    </row>
    <row r="215">
      <c r="F215" s="13">
        <f>SUM(F208:F214)</f>
        <v>199348.4375</v>
      </c>
      <c r="I215" s="13">
        <f>SUM(I208:I214)</f>
        <v>65.8978588</v>
      </c>
    </row>
    <row r="216">
      <c r="A216" s="26"/>
      <c r="B216" s="26"/>
      <c r="C216" s="26"/>
      <c r="D216" s="26"/>
    </row>
    <row r="217">
      <c r="A217" s="2" t="s">
        <v>576</v>
      </c>
      <c r="C217" s="2" t="s">
        <v>577</v>
      </c>
      <c r="D217" s="13">
        <f>SUM(D209:D216)</f>
        <v>199.3484375</v>
      </c>
    </row>
    <row r="218">
      <c r="A218" s="2" t="s">
        <v>578</v>
      </c>
      <c r="C218" s="2" t="s">
        <v>4</v>
      </c>
      <c r="D218" s="42">
        <f>D217*D208</f>
        <v>199348.4375</v>
      </c>
    </row>
    <row r="220">
      <c r="A220" s="1" t="s">
        <v>579</v>
      </c>
      <c r="C220" s="2" t="s">
        <v>29</v>
      </c>
      <c r="D220" s="2">
        <v>10.0</v>
      </c>
      <c r="G220">
        <f>14*8*20</f>
        <v>2240</v>
      </c>
      <c r="H220" s="2" t="s">
        <v>580</v>
      </c>
      <c r="I220" s="2" t="s">
        <v>581</v>
      </c>
    </row>
    <row r="221">
      <c r="A221" s="25" t="s">
        <v>582</v>
      </c>
      <c r="B221" s="26"/>
      <c r="C221" s="26"/>
      <c r="D221" s="25">
        <v>1.8</v>
      </c>
      <c r="E221" s="25" t="s">
        <v>583</v>
      </c>
      <c r="G221" s="13">
        <f>G220/7</f>
        <v>320</v>
      </c>
      <c r="H221" s="2" t="s">
        <v>584</v>
      </c>
    </row>
    <row r="222">
      <c r="A222" s="2" t="s">
        <v>585</v>
      </c>
      <c r="C222" s="2" t="s">
        <v>29</v>
      </c>
      <c r="D222" s="203">
        <f>D218/(D221*D220)</f>
        <v>11074.91319</v>
      </c>
      <c r="E222" s="13"/>
      <c r="F222" s="13"/>
      <c r="G222" s="2">
        <v>12.0</v>
      </c>
      <c r="H222" s="2" t="s">
        <v>587</v>
      </c>
    </row>
    <row r="223">
      <c r="A223" s="1" t="s">
        <v>76</v>
      </c>
      <c r="G223" s="2">
        <v>33.0</v>
      </c>
      <c r="H223" s="2" t="s">
        <v>588</v>
      </c>
    </row>
    <row r="224">
      <c r="A224" s="2" t="s">
        <v>589</v>
      </c>
      <c r="C224" s="2" t="s">
        <v>29</v>
      </c>
      <c r="D224" s="2">
        <v>6.0</v>
      </c>
      <c r="G224" s="2">
        <v>36.0</v>
      </c>
      <c r="H224" s="2" t="s">
        <v>590</v>
      </c>
    </row>
    <row r="225">
      <c r="A225" s="2" t="s">
        <v>591</v>
      </c>
      <c r="C225" s="2" t="s">
        <v>20</v>
      </c>
      <c r="D225" s="42">
        <f>D222*D220*D224</f>
        <v>664494.7917</v>
      </c>
      <c r="G225">
        <f>G224*G223</f>
        <v>1188</v>
      </c>
      <c r="H225" s="2" t="s">
        <v>584</v>
      </c>
    </row>
    <row r="226">
      <c r="A226" s="2" t="s">
        <v>592</v>
      </c>
      <c r="C226" s="2" t="s">
        <v>593</v>
      </c>
      <c r="D226" s="2">
        <v>80.0</v>
      </c>
      <c r="G226">
        <f>G225*365</f>
        <v>433620</v>
      </c>
      <c r="H226" s="2" t="s">
        <v>594</v>
      </c>
      <c r="I226" s="2" t="s">
        <v>595</v>
      </c>
    </row>
    <row r="227">
      <c r="A227" s="2"/>
      <c r="C227" s="2" t="s">
        <v>596</v>
      </c>
      <c r="D227" s="13">
        <f>D226*24</f>
        <v>1920</v>
      </c>
      <c r="H227" s="2"/>
    </row>
    <row r="228">
      <c r="C228" s="2" t="s">
        <v>54</v>
      </c>
      <c r="D228" s="13">
        <f>D225/D226</f>
        <v>8306.184896</v>
      </c>
      <c r="G228">
        <f>D225/G226</f>
        <v>1.532435754</v>
      </c>
      <c r="H228" s="2" t="s">
        <v>598</v>
      </c>
    </row>
    <row r="229">
      <c r="A229" s="2" t="s">
        <v>599</v>
      </c>
      <c r="C229" s="2" t="s">
        <v>84</v>
      </c>
      <c r="D229" s="2">
        <v>1.0</v>
      </c>
    </row>
    <row r="230">
      <c r="A230" s="2" t="s">
        <v>600</v>
      </c>
      <c r="C230" s="2" t="s">
        <v>32</v>
      </c>
      <c r="D230" s="13">
        <f>D229*D225/1000</f>
        <v>664.4947917</v>
      </c>
    </row>
    <row r="232">
      <c r="A232" s="2" t="s">
        <v>601</v>
      </c>
      <c r="C232" s="2" t="s">
        <v>4</v>
      </c>
      <c r="D232" s="42">
        <f>D222*(D220+D224)*2</f>
        <v>354397.2222</v>
      </c>
    </row>
    <row r="233">
      <c r="A233" s="2" t="s">
        <v>602</v>
      </c>
      <c r="C233" s="2" t="s">
        <v>29</v>
      </c>
      <c r="D233" s="2">
        <v>0.4</v>
      </c>
    </row>
    <row r="234">
      <c r="A234" s="2" t="s">
        <v>603</v>
      </c>
      <c r="C234" s="2" t="s">
        <v>20</v>
      </c>
      <c r="D234" s="42">
        <f>D233*D232</f>
        <v>141758.8889</v>
      </c>
    </row>
    <row r="235">
      <c r="A235" s="2" t="s">
        <v>604</v>
      </c>
      <c r="C235" s="2" t="s">
        <v>26</v>
      </c>
      <c r="D235" s="42">
        <f>D234*C285/1000</f>
        <v>262253.9444</v>
      </c>
    </row>
    <row r="236">
      <c r="A236" s="2" t="s">
        <v>605</v>
      </c>
      <c r="C236" s="2" t="s">
        <v>29</v>
      </c>
      <c r="D236" s="2">
        <v>0.002</v>
      </c>
      <c r="G236" s="2" t="s">
        <v>607</v>
      </c>
    </row>
    <row r="237">
      <c r="C237" s="2" t="s">
        <v>20</v>
      </c>
      <c r="D237" s="13">
        <f>D236*D232</f>
        <v>708.7944444</v>
      </c>
    </row>
    <row r="238">
      <c r="A238" s="2" t="s">
        <v>609</v>
      </c>
      <c r="C238" s="2" t="s">
        <v>84</v>
      </c>
      <c r="D238" s="2">
        <v>1800.0</v>
      </c>
    </row>
    <row r="239">
      <c r="C239" s="2" t="s">
        <v>26</v>
      </c>
      <c r="D239" s="13">
        <f>D238*D237/1000</f>
        <v>1275.83</v>
      </c>
    </row>
    <row r="241">
      <c r="A241" s="2" t="s">
        <v>610</v>
      </c>
      <c r="B241" s="209" t="s">
        <v>167</v>
      </c>
      <c r="C241" s="210">
        <f>D41</f>
        <v>236.3232877</v>
      </c>
    </row>
    <row r="242">
      <c r="A242" s="211" t="s">
        <v>611</v>
      </c>
      <c r="B242" s="212" t="s">
        <v>533</v>
      </c>
      <c r="C242" s="212" t="s">
        <v>612</v>
      </c>
      <c r="D242" s="213" t="s">
        <v>613</v>
      </c>
      <c r="E242" s="214" t="s">
        <v>17</v>
      </c>
      <c r="F242" s="214"/>
      <c r="G242" s="215"/>
    </row>
    <row r="243">
      <c r="A243" s="1" t="s">
        <v>614</v>
      </c>
      <c r="B243" s="209">
        <v>0.5</v>
      </c>
      <c r="C243" s="217">
        <f t="shared" ref="C243:C254" si="14">$C$241*B243</f>
        <v>118.1616438</v>
      </c>
      <c r="D243" s="210">
        <f t="shared" ref="D243:D257" si="15">500000/C243</f>
        <v>4231.491572</v>
      </c>
      <c r="E243" s="2"/>
    </row>
    <row r="244">
      <c r="A244" s="1" t="s">
        <v>615</v>
      </c>
      <c r="B244" s="209">
        <f>'Propellant production'!D28</f>
        <v>180</v>
      </c>
      <c r="C244" s="217">
        <f t="shared" si="14"/>
        <v>42538.19178</v>
      </c>
      <c r="D244" s="210">
        <f t="shared" si="15"/>
        <v>11.75414325</v>
      </c>
    </row>
    <row r="245">
      <c r="A245" s="1" t="s">
        <v>616</v>
      </c>
      <c r="B245" s="210">
        <f>'Propellant production'!D81</f>
        <v>124.8701981</v>
      </c>
      <c r="C245" s="217">
        <f t="shared" si="14"/>
        <v>29509.73574</v>
      </c>
      <c r="D245" s="210">
        <f t="shared" si="15"/>
        <v>16.94356074</v>
      </c>
      <c r="E245" s="2" t="s">
        <v>617</v>
      </c>
      <c r="M245" s="2" t="s">
        <v>618</v>
      </c>
      <c r="N245">
        <f> 3*2</f>
        <v>6</v>
      </c>
      <c r="O245" s="2" t="s">
        <v>619</v>
      </c>
    </row>
    <row r="246">
      <c r="A246" s="1" t="s">
        <v>620</v>
      </c>
      <c r="B246" s="209">
        <v>8.0</v>
      </c>
      <c r="C246" s="217">
        <f t="shared" si="14"/>
        <v>1890.586301</v>
      </c>
      <c r="D246" s="210">
        <f t="shared" si="15"/>
        <v>264.4682232</v>
      </c>
    </row>
    <row r="247">
      <c r="A247" s="1" t="s">
        <v>621</v>
      </c>
      <c r="B247" s="218">
        <v>1.0</v>
      </c>
      <c r="C247" s="217">
        <f t="shared" si="14"/>
        <v>236.3232877</v>
      </c>
      <c r="D247" s="210">
        <f t="shared" si="15"/>
        <v>2115.745786</v>
      </c>
      <c r="E247" s="2" t="s">
        <v>623</v>
      </c>
    </row>
    <row r="248">
      <c r="A248" s="1" t="s">
        <v>624</v>
      </c>
      <c r="B248" s="218">
        <v>2.0</v>
      </c>
      <c r="C248" s="217">
        <f t="shared" si="14"/>
        <v>472.6465753</v>
      </c>
      <c r="D248" s="210">
        <f t="shared" si="15"/>
        <v>1057.872893</v>
      </c>
      <c r="E248" s="11" t="s">
        <v>625</v>
      </c>
    </row>
    <row r="249">
      <c r="A249" s="1" t="s">
        <v>626</v>
      </c>
      <c r="B249" s="218">
        <v>10.0</v>
      </c>
      <c r="C249" s="217">
        <f t="shared" si="14"/>
        <v>2363.232877</v>
      </c>
      <c r="D249" s="210">
        <f t="shared" si="15"/>
        <v>211.5745786</v>
      </c>
      <c r="E249" s="2"/>
    </row>
    <row r="250">
      <c r="A250" s="1" t="s">
        <v>627</v>
      </c>
      <c r="B250" s="209">
        <v>6.0</v>
      </c>
      <c r="C250" s="217">
        <f t="shared" si="14"/>
        <v>1417.939726</v>
      </c>
      <c r="D250" s="210">
        <f t="shared" si="15"/>
        <v>352.6242976</v>
      </c>
      <c r="E250" s="11" t="s">
        <v>628</v>
      </c>
    </row>
    <row r="251">
      <c r="A251" s="1" t="s">
        <v>629</v>
      </c>
      <c r="B251" s="209">
        <f>210+10</f>
        <v>220</v>
      </c>
      <c r="C251" s="217">
        <f t="shared" si="14"/>
        <v>51991.12329</v>
      </c>
      <c r="D251" s="210">
        <f t="shared" si="15"/>
        <v>9.6170263</v>
      </c>
    </row>
    <row r="252">
      <c r="A252" s="1" t="s">
        <v>630</v>
      </c>
      <c r="B252" s="218">
        <f>24.5*1.05+10</f>
        <v>35.725</v>
      </c>
      <c r="C252" s="217">
        <f t="shared" si="14"/>
        <v>8442.649452</v>
      </c>
      <c r="D252" s="210">
        <f t="shared" si="15"/>
        <v>59.22311507</v>
      </c>
      <c r="E252" s="11" t="s">
        <v>631</v>
      </c>
      <c r="I252" s="2" t="s">
        <v>632</v>
      </c>
      <c r="M252" s="2" t="s">
        <v>633</v>
      </c>
      <c r="O252" s="2" t="s">
        <v>634</v>
      </c>
    </row>
    <row r="253">
      <c r="A253" s="1" t="s">
        <v>635</v>
      </c>
      <c r="B253" s="209">
        <f>130+10</f>
        <v>140</v>
      </c>
      <c r="C253" s="217">
        <f t="shared" si="14"/>
        <v>33085.26027</v>
      </c>
      <c r="D253" s="210">
        <f t="shared" si="15"/>
        <v>15.1124699</v>
      </c>
      <c r="E253" s="2" t="s">
        <v>636</v>
      </c>
    </row>
    <row r="254">
      <c r="A254" s="1" t="s">
        <v>549</v>
      </c>
      <c r="B254" s="210">
        <f>D176</f>
        <v>432</v>
      </c>
      <c r="C254" s="217">
        <f t="shared" si="14"/>
        <v>102091.6603</v>
      </c>
      <c r="D254" s="210">
        <f t="shared" si="15"/>
        <v>4.89755969</v>
      </c>
      <c r="M254" s="2" t="s">
        <v>637</v>
      </c>
    </row>
    <row r="255">
      <c r="A255" s="1" t="s">
        <v>638</v>
      </c>
      <c r="B255" s="210"/>
      <c r="C255" s="217">
        <f>Algae!C20</f>
        <v>20000</v>
      </c>
      <c r="D255" s="210">
        <f t="shared" si="15"/>
        <v>25</v>
      </c>
      <c r="E255" s="2" t="s">
        <v>639</v>
      </c>
    </row>
    <row r="256">
      <c r="A256" s="1" t="s">
        <v>640</v>
      </c>
      <c r="B256" s="209">
        <v>100.0</v>
      </c>
      <c r="C256" s="217">
        <f>$C$241*B256+C255</f>
        <v>43632.32877</v>
      </c>
      <c r="D256" s="210">
        <f t="shared" si="15"/>
        <v>11.45939293</v>
      </c>
      <c r="E256" s="2" t="s">
        <v>641</v>
      </c>
      <c r="N256">
        <f>6/112</f>
        <v>0.05357142857</v>
      </c>
    </row>
    <row r="257">
      <c r="A257" s="1" t="s">
        <v>643</v>
      </c>
      <c r="B257" s="210">
        <f>B250+B256/2</f>
        <v>56</v>
      </c>
      <c r="C257" s="217">
        <f>$C$241*B257+(C255/2)</f>
        <v>23234.10411</v>
      </c>
      <c r="D257" s="210">
        <f t="shared" si="15"/>
        <v>21.5200895</v>
      </c>
      <c r="E257" s="2" t="s">
        <v>644</v>
      </c>
    </row>
    <row r="258">
      <c r="A258" s="2" t="s">
        <v>645</v>
      </c>
    </row>
    <row r="260">
      <c r="A260" s="1" t="s">
        <v>646</v>
      </c>
    </row>
    <row r="261">
      <c r="A261" s="2" t="s">
        <v>647</v>
      </c>
    </row>
    <row r="262">
      <c r="A262" s="2" t="s">
        <v>148</v>
      </c>
      <c r="C262" s="220">
        <v>5.67E-8</v>
      </c>
      <c r="D262" s="220">
        <v>5.67E-8</v>
      </c>
    </row>
    <row r="263">
      <c r="A263" s="2" t="s">
        <v>648</v>
      </c>
      <c r="C263">
        <f>C274</f>
        <v>278</v>
      </c>
      <c r="D263" s="2">
        <v>320.0</v>
      </c>
    </row>
    <row r="264">
      <c r="A264" s="2" t="s">
        <v>648</v>
      </c>
      <c r="C264">
        <f t="shared" ref="C264:D264" si="16">273-50</f>
        <v>223</v>
      </c>
      <c r="D264">
        <f t="shared" si="16"/>
        <v>223</v>
      </c>
    </row>
    <row r="265">
      <c r="C265" s="222">
        <f t="shared" ref="C265:D265" si="17">(C263^4-C264^4)*C262</f>
        <v>198.4411103</v>
      </c>
      <c r="D265" s="222">
        <f t="shared" si="17"/>
        <v>454.3249979</v>
      </c>
    </row>
    <row r="266">
      <c r="A266" s="2" t="s">
        <v>650</v>
      </c>
      <c r="C266" s="2">
        <v>0.37</v>
      </c>
      <c r="D266" s="2">
        <v>0.9</v>
      </c>
    </row>
    <row r="267">
      <c r="A267" s="2" t="s">
        <v>651</v>
      </c>
      <c r="C267" s="2">
        <v>0.37</v>
      </c>
      <c r="D267" s="2">
        <v>0.9</v>
      </c>
    </row>
    <row r="268">
      <c r="A268" s="2" t="s">
        <v>112</v>
      </c>
      <c r="C268" s="2">
        <v>4.0</v>
      </c>
      <c r="D268" s="2">
        <v>1.0</v>
      </c>
    </row>
    <row r="269">
      <c r="C269">
        <f t="shared" ref="C269:D269" si="18">(1/C266)+(1/C267)-1</f>
        <v>4.405405405</v>
      </c>
      <c r="D269" s="27">
        <f t="shared" si="18"/>
        <v>1.222222222</v>
      </c>
    </row>
    <row r="270">
      <c r="A270" s="2" t="s">
        <v>652</v>
      </c>
      <c r="B270" s="2" t="s">
        <v>41</v>
      </c>
      <c r="C270" s="216">
        <f t="shared" ref="C270:D270" si="19">C265/(C268*C269)</f>
        <v>11.26122865</v>
      </c>
      <c r="D270" s="216">
        <f t="shared" si="19"/>
        <v>371.7204528</v>
      </c>
    </row>
    <row r="272">
      <c r="A272" s="2" t="s">
        <v>654</v>
      </c>
    </row>
    <row r="273">
      <c r="A273" s="2" t="s">
        <v>655</v>
      </c>
      <c r="B273" s="2" t="s">
        <v>656</v>
      </c>
      <c r="C273" s="2">
        <v>293.0</v>
      </c>
    </row>
    <row r="274">
      <c r="B274" s="2" t="s">
        <v>657</v>
      </c>
      <c r="C274" s="2">
        <v>278.0</v>
      </c>
    </row>
    <row r="275">
      <c r="C275">
        <f>C273-C274</f>
        <v>15</v>
      </c>
    </row>
    <row r="276">
      <c r="A276" s="2" t="s">
        <v>658</v>
      </c>
      <c r="B276" s="2" t="s">
        <v>659</v>
      </c>
      <c r="C276" s="2">
        <v>1.13</v>
      </c>
    </row>
    <row r="277">
      <c r="A277" s="2" t="s">
        <v>140</v>
      </c>
      <c r="B277" s="2" t="s">
        <v>29</v>
      </c>
      <c r="C277" s="2">
        <v>0.4</v>
      </c>
    </row>
    <row r="278">
      <c r="B278" s="2" t="s">
        <v>41</v>
      </c>
      <c r="C278">
        <f>(C276/C277)*C275</f>
        <v>42.375</v>
      </c>
    </row>
    <row r="279">
      <c r="A279" s="2" t="s">
        <v>660</v>
      </c>
      <c r="B279" s="2" t="s">
        <v>4</v>
      </c>
      <c r="C279" s="42">
        <f>D232</f>
        <v>354397.2222</v>
      </c>
    </row>
    <row r="280">
      <c r="A280" s="2" t="s">
        <v>661</v>
      </c>
      <c r="B280" s="2" t="s">
        <v>520</v>
      </c>
      <c r="C280" s="27">
        <f>C279*C278/1000000</f>
        <v>15.01758229</v>
      </c>
    </row>
    <row r="282">
      <c r="A282" s="1" t="s">
        <v>662</v>
      </c>
    </row>
    <row r="283">
      <c r="A283" s="2" t="s">
        <v>663</v>
      </c>
    </row>
    <row r="284">
      <c r="A284" s="2" t="s">
        <v>664</v>
      </c>
      <c r="B284" s="2" t="s">
        <v>4</v>
      </c>
      <c r="C284" s="42">
        <f>C279</f>
        <v>354397.2222</v>
      </c>
    </row>
    <row r="285">
      <c r="A285" s="2" t="s">
        <v>665</v>
      </c>
      <c r="B285" s="2" t="s">
        <v>84</v>
      </c>
      <c r="C285" s="42">
        <v>1850.0</v>
      </c>
      <c r="F285" s="2">
        <f>30*3600</f>
        <v>108000</v>
      </c>
    </row>
    <row r="286">
      <c r="A286" s="2" t="s">
        <v>666</v>
      </c>
      <c r="B286" s="2" t="s">
        <v>29</v>
      </c>
      <c r="C286">
        <f>C277</f>
        <v>0.4</v>
      </c>
    </row>
    <row r="287">
      <c r="A287" s="2" t="s">
        <v>667</v>
      </c>
      <c r="B287" s="2" t="s">
        <v>20</v>
      </c>
      <c r="C287" s="42">
        <f>C286*C284</f>
        <v>141758.8889</v>
      </c>
    </row>
    <row r="288">
      <c r="A288" s="2" t="s">
        <v>668</v>
      </c>
      <c r="B288" s="2" t="s">
        <v>26</v>
      </c>
      <c r="C288" s="42">
        <f>C287*C285/1000</f>
        <v>262253.9444</v>
      </c>
      <c r="F288" s="2">
        <v>30000.0</v>
      </c>
    </row>
    <row r="289">
      <c r="A289" s="2" t="s">
        <v>669</v>
      </c>
      <c r="B289" s="2" t="s">
        <v>670</v>
      </c>
      <c r="C289" s="2">
        <v>1.0</v>
      </c>
      <c r="D289" s="2" t="s">
        <v>671</v>
      </c>
      <c r="F289" s="2">
        <v>1.0</v>
      </c>
    </row>
    <row r="290">
      <c r="A290" s="2" t="s">
        <v>672</v>
      </c>
      <c r="B290" s="2" t="s">
        <v>673</v>
      </c>
      <c r="C290" s="42">
        <f>C288*1000</f>
        <v>262253944.4</v>
      </c>
    </row>
    <row r="291">
      <c r="A291" s="2" t="s">
        <v>674</v>
      </c>
    </row>
    <row r="292">
      <c r="A292" s="2" t="s">
        <v>521</v>
      </c>
      <c r="B292" s="2" t="s">
        <v>675</v>
      </c>
      <c r="C292" s="42">
        <f>8*3600</f>
        <v>28800</v>
      </c>
    </row>
    <row r="293">
      <c r="A293" s="2" t="s">
        <v>676</v>
      </c>
      <c r="B293" s="2" t="s">
        <v>677</v>
      </c>
      <c r="C293" s="42">
        <f>C292*C280*1000</f>
        <v>432506370</v>
      </c>
    </row>
    <row r="294">
      <c r="A294" s="2" t="s">
        <v>678</v>
      </c>
      <c r="B294" s="2" t="s">
        <v>161</v>
      </c>
      <c r="C294" s="27">
        <f>C293/C290</f>
        <v>1.649189189</v>
      </c>
    </row>
  </sheetData>
  <hyperlinks>
    <hyperlink r:id="rId1" ref="H18"/>
    <hyperlink r:id="rId2" location="cite_note-BarleyBook-29" ref="I160"/>
    <hyperlink r:id="rId3" location="cite_note-USDAARS-28" ref="I161"/>
    <hyperlink r:id="rId4" location="cite_note-JerusalemArtichokeBook-30" ref="I162"/>
    <hyperlink r:id="rId5" location="cite_note-BarleyBook-29" ref="I163"/>
    <hyperlink r:id="rId6" location="cite_note-BarleyBook-29" ref="I164"/>
    <hyperlink r:id="rId7" location="cite_note-BarleyBook-29" ref="I165"/>
    <hyperlink r:id="rId8" ref="E248"/>
    <hyperlink r:id="rId9" ref="E250"/>
    <hyperlink r:id="rId10" ref="E252"/>
  </hyperlink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 t="s">
        <v>848</v>
      </c>
    </row>
    <row r="2">
      <c r="A2" s="2" t="s">
        <v>849</v>
      </c>
    </row>
    <row r="4">
      <c r="A4" s="2" t="s">
        <v>850</v>
      </c>
    </row>
    <row r="5">
      <c r="A5" s="2" t="s">
        <v>851</v>
      </c>
    </row>
    <row r="6">
      <c r="A6" s="2" t="s">
        <v>852</v>
      </c>
    </row>
    <row r="7">
      <c r="A7" s="2" t="s">
        <v>853</v>
      </c>
    </row>
    <row r="8">
      <c r="A8" s="2" t="s">
        <v>854</v>
      </c>
    </row>
    <row r="9">
      <c r="A9" s="2" t="s">
        <v>855</v>
      </c>
    </row>
    <row r="10">
      <c r="A10" s="2" t="s">
        <v>856</v>
      </c>
    </row>
    <row r="14">
      <c r="A14" s="2" t="s">
        <v>857</v>
      </c>
    </row>
    <row r="15">
      <c r="A15" s="2" t="s">
        <v>858</v>
      </c>
    </row>
    <row r="16">
      <c r="A16" s="2" t="s">
        <v>859</v>
      </c>
    </row>
    <row r="17">
      <c r="A17" s="2" t="s">
        <v>860</v>
      </c>
    </row>
    <row r="18">
      <c r="A18" s="2" t="s">
        <v>861</v>
      </c>
    </row>
    <row r="19">
      <c r="A19" s="2" t="s">
        <v>862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0.57"/>
    <col customWidth="1" min="2" max="2" width="13.0"/>
  </cols>
  <sheetData>
    <row r="1">
      <c r="A1" s="1" t="s">
        <v>0</v>
      </c>
    </row>
    <row r="2">
      <c r="C2" s="2" t="s">
        <v>1</v>
      </c>
      <c r="D2" s="2" t="s">
        <v>2</v>
      </c>
    </row>
    <row r="3">
      <c r="A3" s="2" t="s">
        <v>3</v>
      </c>
      <c r="B3" s="2" t="s">
        <v>4</v>
      </c>
      <c r="C3" s="2">
        <f t="shared" ref="C3:D3" si="1">4*12*4</f>
        <v>192</v>
      </c>
      <c r="D3" s="2">
        <f t="shared" si="1"/>
        <v>192</v>
      </c>
      <c r="F3" s="2" t="s">
        <v>62</v>
      </c>
      <c r="I3" s="2" t="s">
        <v>64</v>
      </c>
      <c r="J3" s="11" t="s">
        <v>68</v>
      </c>
    </row>
    <row r="4">
      <c r="B4" s="2" t="s">
        <v>70</v>
      </c>
      <c r="C4">
        <f>Colony!D23</f>
        <v>413</v>
      </c>
      <c r="D4" s="2">
        <v>1350.0</v>
      </c>
      <c r="F4" s="2" t="s">
        <v>73</v>
      </c>
      <c r="G4" s="2">
        <v>120.0</v>
      </c>
      <c r="I4" s="2" t="s">
        <v>41</v>
      </c>
      <c r="J4" s="2">
        <v>200.0</v>
      </c>
    </row>
    <row r="5">
      <c r="A5" s="2" t="s">
        <v>75</v>
      </c>
      <c r="C5" s="10">
        <v>0.9</v>
      </c>
      <c r="D5" s="10">
        <f>C5</f>
        <v>0.9</v>
      </c>
      <c r="F5" s="2" t="s">
        <v>79</v>
      </c>
      <c r="G5" s="2">
        <v>400.0</v>
      </c>
      <c r="I5" s="2" t="s">
        <v>80</v>
      </c>
      <c r="J5" s="2">
        <v>120.0</v>
      </c>
    </row>
    <row r="6">
      <c r="A6" s="2" t="s">
        <v>81</v>
      </c>
      <c r="C6" s="10">
        <v>0.3</v>
      </c>
      <c r="D6" s="10">
        <v>0.3</v>
      </c>
      <c r="F6" s="2" t="s">
        <v>82</v>
      </c>
      <c r="G6">
        <f>G4*1000/G5</f>
        <v>300</v>
      </c>
      <c r="I6" s="2" t="s">
        <v>87</v>
      </c>
      <c r="J6">
        <f>J4/J5</f>
        <v>1.666666667</v>
      </c>
    </row>
    <row r="7">
      <c r="A7" s="2" t="s">
        <v>92</v>
      </c>
      <c r="B7" s="2" t="s">
        <v>93</v>
      </c>
      <c r="C7" s="13">
        <f t="shared" ref="C7:D7" si="2">C6*C4*C3*C5</f>
        <v>21409.92</v>
      </c>
      <c r="D7" s="13">
        <f t="shared" si="2"/>
        <v>69984</v>
      </c>
    </row>
    <row r="8">
      <c r="A8" s="2"/>
      <c r="B8" s="2" t="s">
        <v>99</v>
      </c>
      <c r="C8" s="13">
        <f t="shared" ref="C8:D8" si="3">C7/1000</f>
        <v>21.40992</v>
      </c>
      <c r="D8" s="13">
        <f t="shared" si="3"/>
        <v>69.984</v>
      </c>
      <c r="F8" s="2" t="s">
        <v>103</v>
      </c>
    </row>
    <row r="9">
      <c r="A9" s="2"/>
      <c r="B9" s="2" t="s">
        <v>104</v>
      </c>
      <c r="C9" s="13">
        <f t="shared" ref="C9:D9" si="4">C8/0.748</f>
        <v>28.6228877</v>
      </c>
      <c r="D9" s="13">
        <f t="shared" si="4"/>
        <v>93.56149733</v>
      </c>
      <c r="F9" s="2" t="s">
        <v>108</v>
      </c>
      <c r="G9" s="2">
        <v>2.3</v>
      </c>
    </row>
    <row r="10">
      <c r="A10" s="2" t="s">
        <v>110</v>
      </c>
      <c r="B10" s="2" t="s">
        <v>54</v>
      </c>
      <c r="C10">
        <f>Colony!D19</f>
        <v>10</v>
      </c>
      <c r="D10" s="2">
        <v>10.0</v>
      </c>
      <c r="F10" s="2" t="s">
        <v>87</v>
      </c>
      <c r="G10" s="27">
        <f>G9*10.78/2.202</f>
        <v>11.25976385</v>
      </c>
    </row>
    <row r="11">
      <c r="A11" s="2" t="s">
        <v>124</v>
      </c>
      <c r="B11" s="2" t="s">
        <v>125</v>
      </c>
      <c r="C11" s="13">
        <f t="shared" ref="C11:D11" si="5">C7*C10/1000</f>
        <v>214.0992</v>
      </c>
      <c r="D11" s="13">
        <f t="shared" si="5"/>
        <v>699.84</v>
      </c>
    </row>
    <row r="13">
      <c r="A13" s="2" t="s">
        <v>132</v>
      </c>
      <c r="B13" s="2" t="s">
        <v>48</v>
      </c>
      <c r="C13" s="2">
        <v>480.0</v>
      </c>
      <c r="D13" s="2">
        <v>480.0</v>
      </c>
    </row>
    <row r="14">
      <c r="A14" s="2" t="s">
        <v>133</v>
      </c>
      <c r="B14" s="2" t="s">
        <v>134</v>
      </c>
      <c r="C14" s="13">
        <f t="shared" ref="C14:D14" si="6">C7/C13</f>
        <v>44.604</v>
      </c>
      <c r="D14" s="13">
        <f t="shared" si="6"/>
        <v>145.8</v>
      </c>
    </row>
    <row r="15">
      <c r="A15" s="1"/>
    </row>
    <row r="16">
      <c r="A16" s="1" t="s">
        <v>136</v>
      </c>
    </row>
    <row r="17">
      <c r="A17" s="2" t="s">
        <v>138</v>
      </c>
      <c r="B17" s="2" t="s">
        <v>84</v>
      </c>
      <c r="C17" s="2">
        <v>2200.0</v>
      </c>
      <c r="D17" s="2">
        <v>2200.0</v>
      </c>
    </row>
    <row r="18">
      <c r="A18" s="2" t="s">
        <v>140</v>
      </c>
      <c r="B18" s="2" t="s">
        <v>29</v>
      </c>
      <c r="C18" s="2">
        <v>1.5E-4</v>
      </c>
      <c r="D18" s="2">
        <v>1.5E-4</v>
      </c>
    </row>
    <row r="19">
      <c r="A19" s="2" t="s">
        <v>141</v>
      </c>
      <c r="B19" s="2" t="s">
        <v>142</v>
      </c>
      <c r="C19" s="13">
        <f t="shared" ref="C19:D19" si="7">C18*C17*C3</f>
        <v>63.36</v>
      </c>
      <c r="D19" s="13">
        <f t="shared" si="7"/>
        <v>63.36</v>
      </c>
    </row>
    <row r="20">
      <c r="A20" s="1"/>
    </row>
    <row r="21">
      <c r="A21" s="1" t="s">
        <v>149</v>
      </c>
    </row>
    <row r="22">
      <c r="A22" s="2" t="s">
        <v>150</v>
      </c>
      <c r="B22" s="2" t="s">
        <v>84</v>
      </c>
      <c r="C22" s="2">
        <v>2700.0</v>
      </c>
      <c r="D22" s="2">
        <v>2700.0</v>
      </c>
    </row>
    <row r="23">
      <c r="A23" s="2" t="s">
        <v>140</v>
      </c>
      <c r="B23" s="2" t="s">
        <v>29</v>
      </c>
      <c r="C23" s="2">
        <v>2.0E-4</v>
      </c>
      <c r="D23" s="2">
        <v>2.0E-4</v>
      </c>
    </row>
    <row r="24">
      <c r="A24" s="2" t="s">
        <v>141</v>
      </c>
      <c r="B24" s="2" t="s">
        <v>142</v>
      </c>
      <c r="C24" s="13">
        <f t="shared" ref="C24:D24" si="8">C23*C22*C3</f>
        <v>103.68</v>
      </c>
      <c r="D24" s="13">
        <f t="shared" si="8"/>
        <v>103.68</v>
      </c>
    </row>
    <row r="26">
      <c r="A26" s="1" t="s">
        <v>155</v>
      </c>
    </row>
    <row r="27">
      <c r="A27" s="2" t="s">
        <v>83</v>
      </c>
      <c r="B27" s="2" t="s">
        <v>84</v>
      </c>
      <c r="C27" s="2">
        <v>2000.0</v>
      </c>
      <c r="D27" s="2">
        <v>2000.0</v>
      </c>
    </row>
    <row r="28">
      <c r="A28" s="2" t="s">
        <v>140</v>
      </c>
      <c r="B28" s="2" t="s">
        <v>29</v>
      </c>
      <c r="C28" s="2">
        <v>5.0E-4</v>
      </c>
      <c r="D28" s="2">
        <v>5.0E-4</v>
      </c>
    </row>
    <row r="29">
      <c r="A29" s="2" t="s">
        <v>141</v>
      </c>
      <c r="B29" s="2" t="s">
        <v>142</v>
      </c>
      <c r="C29" s="13">
        <f t="shared" ref="C29:D29" si="9">C28*C27*C3</f>
        <v>192</v>
      </c>
      <c r="D29" s="13">
        <f t="shared" si="9"/>
        <v>192</v>
      </c>
    </row>
    <row r="30">
      <c r="A30" s="1"/>
    </row>
    <row r="31">
      <c r="A31" s="1" t="s">
        <v>158</v>
      </c>
    </row>
    <row r="32">
      <c r="A32" s="2" t="s">
        <v>74</v>
      </c>
      <c r="B32" s="2" t="s">
        <v>29</v>
      </c>
      <c r="C32" s="2">
        <v>48.0</v>
      </c>
      <c r="D32" s="2">
        <v>48.0</v>
      </c>
    </row>
    <row r="33">
      <c r="A33" s="2" t="s">
        <v>83</v>
      </c>
      <c r="B33" s="2" t="s">
        <v>84</v>
      </c>
      <c r="C33" s="2">
        <v>1800.0</v>
      </c>
      <c r="D33" s="2">
        <v>1800.0</v>
      </c>
    </row>
    <row r="34">
      <c r="A34" s="2" t="s">
        <v>159</v>
      </c>
      <c r="B34" s="2" t="s">
        <v>29</v>
      </c>
      <c r="C34" s="2">
        <v>0.2</v>
      </c>
      <c r="D34" s="2">
        <v>0.2</v>
      </c>
    </row>
    <row r="35">
      <c r="A35" s="2" t="s">
        <v>3</v>
      </c>
      <c r="B35" s="2" t="s">
        <v>4</v>
      </c>
      <c r="C35" s="13">
        <f t="shared" ref="C35:D35" si="10">C34*pi()*C32</f>
        <v>30.15928947</v>
      </c>
      <c r="D35" s="13">
        <f t="shared" si="10"/>
        <v>30.15928947</v>
      </c>
    </row>
    <row r="36">
      <c r="A36" s="2" t="s">
        <v>140</v>
      </c>
      <c r="B36" s="2" t="s">
        <v>29</v>
      </c>
      <c r="C36" s="2">
        <v>0.002</v>
      </c>
      <c r="D36" s="2">
        <v>0.002</v>
      </c>
    </row>
    <row r="37">
      <c r="A37" s="2" t="s">
        <v>163</v>
      </c>
      <c r="B37" s="2" t="s">
        <v>20</v>
      </c>
      <c r="C37" s="27">
        <f t="shared" ref="C37:D37" si="11">C36*C35</f>
        <v>0.06031857895</v>
      </c>
      <c r="D37" s="27">
        <f t="shared" si="11"/>
        <v>0.06031857895</v>
      </c>
    </row>
    <row r="38">
      <c r="A38" s="2" t="s">
        <v>169</v>
      </c>
      <c r="B38" s="2" t="s">
        <v>142</v>
      </c>
      <c r="C38" s="13">
        <f t="shared" ref="C38:D38" si="12">C37*C33</f>
        <v>108.5734421</v>
      </c>
      <c r="D38" s="13">
        <f t="shared" si="12"/>
        <v>108.5734421</v>
      </c>
    </row>
    <row r="40">
      <c r="A40" s="1" t="s">
        <v>171</v>
      </c>
    </row>
    <row r="41">
      <c r="A41" s="2" t="s">
        <v>74</v>
      </c>
      <c r="B41" s="2" t="s">
        <v>29</v>
      </c>
      <c r="C41" s="2">
        <v>200.0</v>
      </c>
      <c r="D41" s="2">
        <v>200.0</v>
      </c>
    </row>
    <row r="42">
      <c r="A42" s="2" t="s">
        <v>173</v>
      </c>
      <c r="B42" s="2" t="s">
        <v>85</v>
      </c>
      <c r="C42" s="2">
        <v>0.074</v>
      </c>
      <c r="D42" s="2">
        <v>0.074</v>
      </c>
    </row>
    <row r="43">
      <c r="A43" s="2" t="s">
        <v>173</v>
      </c>
      <c r="B43" s="2" t="s">
        <v>142</v>
      </c>
      <c r="C43">
        <f t="shared" ref="C43:D43" si="13">C42*C41</f>
        <v>14.8</v>
      </c>
      <c r="D43">
        <f t="shared" si="13"/>
        <v>14.8</v>
      </c>
    </row>
    <row r="45">
      <c r="A45" s="25" t="s">
        <v>175</v>
      </c>
      <c r="B45" s="25" t="s">
        <v>142</v>
      </c>
      <c r="C45" s="25">
        <v>40.0</v>
      </c>
      <c r="D45" s="25">
        <v>40.0</v>
      </c>
    </row>
    <row r="46">
      <c r="A46" s="2" t="s">
        <v>176</v>
      </c>
      <c r="B46" s="10">
        <v>0.1</v>
      </c>
      <c r="C46" s="13">
        <f t="shared" ref="C46:D46" si="14">C45+C43+C38+C24+C29+C19</f>
        <v>522.4134421</v>
      </c>
      <c r="D46" s="13">
        <f t="shared" si="14"/>
        <v>522.4134421</v>
      </c>
    </row>
    <row r="47">
      <c r="A47" s="2" t="s">
        <v>183</v>
      </c>
      <c r="B47" s="2" t="s">
        <v>142</v>
      </c>
      <c r="C47" s="13">
        <f>C46*B46+C46</f>
        <v>574.6547863</v>
      </c>
      <c r="D47" s="13">
        <f>D46*B46+D46</f>
        <v>574.6547863</v>
      </c>
    </row>
    <row r="49">
      <c r="A49" s="2" t="s">
        <v>189</v>
      </c>
      <c r="B49" s="2" t="s">
        <v>87</v>
      </c>
      <c r="C49" s="27">
        <f t="shared" ref="C49:D49" si="15">C47/C3</f>
        <v>2.992993679</v>
      </c>
      <c r="D49" s="27">
        <f t="shared" si="15"/>
        <v>2.992993679</v>
      </c>
    </row>
    <row r="50">
      <c r="A50" s="2" t="s">
        <v>192</v>
      </c>
      <c r="B50" s="2" t="s">
        <v>80</v>
      </c>
      <c r="C50" s="27">
        <f t="shared" ref="C50:D50" si="16">C7/C47</f>
        <v>37.25701153</v>
      </c>
      <c r="D50" s="27">
        <f t="shared" si="16"/>
        <v>121.7844203</v>
      </c>
    </row>
  </sheetData>
  <hyperlinks>
    <hyperlink r:id="rId1" ref="J3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8.86"/>
    <col customWidth="1" min="7" max="7" width="3.86"/>
    <col customWidth="1" min="8" max="8" width="25.0"/>
    <col customWidth="1" min="9" max="9" width="3.86"/>
  </cols>
  <sheetData>
    <row r="1">
      <c r="A1" s="2" t="s">
        <v>5</v>
      </c>
    </row>
    <row r="3">
      <c r="A3" s="1" t="s">
        <v>6</v>
      </c>
      <c r="E3" s="3" t="s">
        <v>7</v>
      </c>
    </row>
    <row r="4">
      <c r="A4" s="3" t="s">
        <v>10</v>
      </c>
      <c r="E4" s="3" t="s">
        <v>11</v>
      </c>
    </row>
    <row r="5">
      <c r="A5" s="3" t="s">
        <v>12</v>
      </c>
      <c r="E5" s="5"/>
    </row>
    <row r="6">
      <c r="A6" s="7"/>
    </row>
    <row r="7">
      <c r="A7" s="3" t="s">
        <v>15</v>
      </c>
      <c r="B7" s="2" t="s">
        <v>21</v>
      </c>
      <c r="C7" s="2" t="s">
        <v>22</v>
      </c>
      <c r="D7" s="2">
        <v>101.0</v>
      </c>
    </row>
    <row r="8">
      <c r="A8" s="2" t="s">
        <v>25</v>
      </c>
      <c r="B8" s="2" t="s">
        <v>27</v>
      </c>
      <c r="C8" s="2" t="s">
        <v>29</v>
      </c>
      <c r="D8" s="2">
        <v>5.0</v>
      </c>
    </row>
    <row r="9">
      <c r="A9" s="2" t="s">
        <v>31</v>
      </c>
      <c r="B9" s="2" t="s">
        <v>32</v>
      </c>
      <c r="C9" s="2" t="s">
        <v>29</v>
      </c>
      <c r="D9" s="2">
        <v>0.0015</v>
      </c>
    </row>
    <row r="10">
      <c r="A10" s="2" t="s">
        <v>33</v>
      </c>
      <c r="B10" s="9" t="s">
        <v>34</v>
      </c>
      <c r="C10" s="2" t="s">
        <v>45</v>
      </c>
      <c r="D10">
        <f>D7*1000*D8/D9</f>
        <v>336666666.7</v>
      </c>
    </row>
    <row r="12">
      <c r="A12" s="2" t="s">
        <v>57</v>
      </c>
      <c r="B12" s="9" t="s">
        <v>59</v>
      </c>
      <c r="C12" s="2" t="s">
        <v>60</v>
      </c>
      <c r="D12" s="2">
        <v>1600.0</v>
      </c>
    </row>
    <row r="13">
      <c r="B13" s="2" t="s">
        <v>66</v>
      </c>
      <c r="D13" s="13">
        <f>D12*1000000/D10</f>
        <v>4.752475248</v>
      </c>
    </row>
    <row r="14">
      <c r="A14" s="2" t="s">
        <v>3</v>
      </c>
      <c r="C14" s="2" t="s">
        <v>4</v>
      </c>
      <c r="D14" s="2">
        <f>D9</f>
        <v>0.0015</v>
      </c>
    </row>
    <row r="15">
      <c r="A15" s="2" t="s">
        <v>74</v>
      </c>
      <c r="C15" s="2" t="s">
        <v>29</v>
      </c>
      <c r="D15">
        <f>9+9+16</f>
        <v>34</v>
      </c>
    </row>
    <row r="16">
      <c r="A16" s="2" t="s">
        <v>76</v>
      </c>
      <c r="C16" s="2" t="s">
        <v>20</v>
      </c>
      <c r="D16">
        <f>D15*D14</f>
        <v>0.051</v>
      </c>
    </row>
    <row r="17">
      <c r="A17" s="2" t="s">
        <v>83</v>
      </c>
      <c r="C17" s="2" t="s">
        <v>84</v>
      </c>
      <c r="D17" s="2">
        <v>1800.0</v>
      </c>
    </row>
    <row r="18">
      <c r="C18" s="2" t="s">
        <v>85</v>
      </c>
      <c r="D18">
        <f>D17*D16</f>
        <v>91.8</v>
      </c>
    </row>
    <row r="19">
      <c r="A19" s="2" t="s">
        <v>91</v>
      </c>
      <c r="C19" s="2" t="s">
        <v>29</v>
      </c>
      <c r="D19" s="13">
        <f>Colony!D222</f>
        <v>11074.91319</v>
      </c>
      <c r="F19" s="2" t="s">
        <v>94</v>
      </c>
    </row>
    <row r="20">
      <c r="A20" s="2" t="s">
        <v>97</v>
      </c>
      <c r="C20" s="2" t="s">
        <v>26</v>
      </c>
      <c r="D20" s="13">
        <f>D19*D18/1000</f>
        <v>1016.677031</v>
      </c>
      <c r="H20" s="2" t="s">
        <v>100</v>
      </c>
    </row>
    <row r="22">
      <c r="A22" s="1" t="s">
        <v>101</v>
      </c>
    </row>
    <row r="23">
      <c r="A23" s="2" t="s">
        <v>15</v>
      </c>
      <c r="B23" s="2" t="s">
        <v>21</v>
      </c>
      <c r="C23" s="2" t="s">
        <v>22</v>
      </c>
      <c r="D23" s="2">
        <v>101.0</v>
      </c>
      <c r="F23" s="17"/>
      <c r="G23" s="18"/>
      <c r="H23" s="18"/>
      <c r="I23" s="18"/>
      <c r="J23" s="19"/>
      <c r="K23" s="2">
        <v>400.0</v>
      </c>
    </row>
    <row r="24">
      <c r="A24" s="2" t="s">
        <v>109</v>
      </c>
      <c r="C24" s="2" t="s">
        <v>4</v>
      </c>
      <c r="D24" s="2">
        <v>54.0</v>
      </c>
      <c r="F24" s="20"/>
      <c r="G24" s="21"/>
      <c r="H24" s="21"/>
      <c r="I24" s="21"/>
      <c r="J24" s="22"/>
    </row>
    <row r="25">
      <c r="A25" s="2" t="s">
        <v>111</v>
      </c>
      <c r="C25" s="2" t="s">
        <v>112</v>
      </c>
      <c r="D25">
        <f>D24*D23*1000</f>
        <v>5454000</v>
      </c>
      <c r="G25" s="24"/>
      <c r="I25" s="24"/>
      <c r="J25" s="2" t="s">
        <v>117</v>
      </c>
    </row>
    <row r="26">
      <c r="C26" s="2" t="s">
        <v>118</v>
      </c>
      <c r="D26" s="13">
        <f>D25/9.8/1000</f>
        <v>556.5306122</v>
      </c>
    </row>
    <row r="27">
      <c r="A27" s="2" t="s">
        <v>119</v>
      </c>
      <c r="C27" s="2" t="s">
        <v>4</v>
      </c>
      <c r="D27" s="2">
        <v>0.004</v>
      </c>
    </row>
    <row r="28">
      <c r="A28" s="2" t="s">
        <v>120</v>
      </c>
      <c r="C28" s="2" t="s">
        <v>45</v>
      </c>
      <c r="D28">
        <f>D25/D27</f>
        <v>1363500000</v>
      </c>
    </row>
    <row r="29">
      <c r="A29" s="2" t="s">
        <v>123</v>
      </c>
      <c r="C29" s="2" t="s">
        <v>60</v>
      </c>
      <c r="D29" s="2">
        <v>1600.0</v>
      </c>
    </row>
    <row r="30">
      <c r="A30" s="2" t="s">
        <v>66</v>
      </c>
      <c r="D30">
        <f>D29*10000000/D28</f>
        <v>11.73450678</v>
      </c>
    </row>
    <row r="33">
      <c r="A33" s="1" t="s">
        <v>126</v>
      </c>
    </row>
    <row r="34">
      <c r="A34" s="2" t="s">
        <v>15</v>
      </c>
      <c r="C34" s="2" t="s">
        <v>127</v>
      </c>
      <c r="D34" s="2">
        <v>101.0</v>
      </c>
    </row>
    <row r="35">
      <c r="A35" s="2" t="s">
        <v>129</v>
      </c>
      <c r="C35" s="2" t="s">
        <v>130</v>
      </c>
      <c r="D35" s="2">
        <v>100.0</v>
      </c>
    </row>
    <row r="36">
      <c r="A36" s="2" t="s">
        <v>131</v>
      </c>
      <c r="C36" s="2" t="s">
        <v>22</v>
      </c>
      <c r="D36" s="29">
        <f>D35*6.895</f>
        <v>689.5</v>
      </c>
    </row>
    <row r="37">
      <c r="C37" s="31"/>
    </row>
    <row r="38">
      <c r="A38" s="2" t="s">
        <v>143</v>
      </c>
    </row>
    <row r="39">
      <c r="A39" s="2" t="s">
        <v>145</v>
      </c>
      <c r="C39" s="2" t="s">
        <v>146</v>
      </c>
    </row>
    <row r="40">
      <c r="A40" s="2" t="s">
        <v>148</v>
      </c>
      <c r="C40" s="2" t="s">
        <v>29</v>
      </c>
      <c r="D40" s="2">
        <v>1.0</v>
      </c>
    </row>
    <row r="41">
      <c r="A41" s="2" t="s">
        <v>54</v>
      </c>
      <c r="C41" s="2" t="s">
        <v>29</v>
      </c>
      <c r="D41" s="2">
        <v>0.4</v>
      </c>
    </row>
    <row r="42">
      <c r="A42" s="2" t="s">
        <v>146</v>
      </c>
      <c r="C42" s="2" t="s">
        <v>152</v>
      </c>
      <c r="D42" s="33">
        <f>D40*D41^3/12</f>
        <v>0.005333333333</v>
      </c>
    </row>
    <row r="43">
      <c r="A43" s="2" t="s">
        <v>161</v>
      </c>
      <c r="B43" s="2" t="s">
        <v>162</v>
      </c>
      <c r="C43" s="2" t="s">
        <v>29</v>
      </c>
      <c r="D43" s="32">
        <f>D41/2</f>
        <v>0.2</v>
      </c>
    </row>
    <row r="45">
      <c r="A45" s="2" t="s">
        <v>164</v>
      </c>
    </row>
    <row r="46">
      <c r="A46" s="2" t="s">
        <v>165</v>
      </c>
      <c r="C46" s="2" t="s">
        <v>166</v>
      </c>
      <c r="D46" s="2">
        <f>D34</f>
        <v>101</v>
      </c>
    </row>
    <row r="47">
      <c r="A47" s="2" t="s">
        <v>117</v>
      </c>
      <c r="C47" s="2" t="s">
        <v>29</v>
      </c>
      <c r="D47" s="36">
        <v>0.25</v>
      </c>
    </row>
    <row r="48">
      <c r="A48" s="2" t="s">
        <v>168</v>
      </c>
      <c r="C48" s="2" t="s">
        <v>170</v>
      </c>
      <c r="D48" s="13">
        <f>D46*D47^2/2</f>
        <v>3.15625</v>
      </c>
    </row>
    <row r="49">
      <c r="A49" s="2" t="s">
        <v>172</v>
      </c>
      <c r="D49" s="13">
        <f>D48*D43/D42</f>
        <v>118.359375</v>
      </c>
    </row>
    <row r="51">
      <c r="A51" s="2" t="s">
        <v>66</v>
      </c>
      <c r="B51" s="2" t="s">
        <v>174</v>
      </c>
      <c r="D51" s="13">
        <f>D36/D49</f>
        <v>5.825478548</v>
      </c>
    </row>
    <row r="53">
      <c r="A53" s="2" t="s">
        <v>179</v>
      </c>
    </row>
    <row r="55">
      <c r="A55" s="2" t="s">
        <v>180</v>
      </c>
    </row>
    <row r="56">
      <c r="A56" s="2" t="s">
        <v>181</v>
      </c>
      <c r="D56" s="2">
        <v>1.0</v>
      </c>
    </row>
    <row r="57">
      <c r="D57" s="2">
        <v>0.4</v>
      </c>
    </row>
    <row r="58">
      <c r="D58" s="2">
        <v>0.4</v>
      </c>
    </row>
    <row r="59">
      <c r="C59" s="2" t="s">
        <v>182</v>
      </c>
      <c r="D59" s="2">
        <v>2000.0</v>
      </c>
    </row>
    <row r="60">
      <c r="C60" s="2" t="s">
        <v>142</v>
      </c>
      <c r="D60">
        <f>D59*D58*D57*D56</f>
        <v>320</v>
      </c>
    </row>
    <row r="61">
      <c r="D61" s="2">
        <v>0.38</v>
      </c>
    </row>
    <row r="62">
      <c r="C62" s="2" t="s">
        <v>188</v>
      </c>
      <c r="D62" s="13">
        <f>D61*D60</f>
        <v>121.6</v>
      </c>
    </row>
    <row r="63">
      <c r="A63" s="2" t="s">
        <v>190</v>
      </c>
      <c r="D63" s="2">
        <v>76.0</v>
      </c>
    </row>
    <row r="64">
      <c r="C64" s="2" t="s">
        <v>191</v>
      </c>
      <c r="D64">
        <f>D63*D60</f>
        <v>24320</v>
      </c>
    </row>
    <row r="65">
      <c r="A65" s="2" t="s">
        <v>193</v>
      </c>
      <c r="D65" s="13">
        <f>D64*Colony!D222/1000</f>
        <v>269341.8889</v>
      </c>
      <c r="E65" s="40">
        <f>D65/Mass!E38</f>
        <v>0.2191553205</v>
      </c>
    </row>
    <row r="68">
      <c r="A68" s="2" t="s">
        <v>198</v>
      </c>
      <c r="C68" s="2" t="s">
        <v>199</v>
      </c>
      <c r="D68" s="2">
        <v>0.2</v>
      </c>
    </row>
    <row r="69">
      <c r="A69" s="2" t="s">
        <v>83</v>
      </c>
      <c r="C69" s="2" t="s">
        <v>84</v>
      </c>
      <c r="D69" s="2">
        <v>1380.0</v>
      </c>
    </row>
    <row r="70">
      <c r="C70" s="2" t="s">
        <v>87</v>
      </c>
      <c r="D70">
        <f>D69/1000*D68</f>
        <v>0.276</v>
      </c>
    </row>
    <row r="71">
      <c r="A71" s="2" t="s">
        <v>201</v>
      </c>
      <c r="C71" s="2" t="s">
        <v>4</v>
      </c>
      <c r="D71" s="42">
        <f>Colony!D232</f>
        <v>354397.2222</v>
      </c>
    </row>
    <row r="72">
      <c r="A72" s="2" t="s">
        <v>202</v>
      </c>
      <c r="C72" s="2"/>
      <c r="D72" s="29">
        <v>3.0</v>
      </c>
    </row>
    <row r="73">
      <c r="A73" s="2" t="s">
        <v>204</v>
      </c>
      <c r="C73" s="2" t="s">
        <v>32</v>
      </c>
      <c r="D73" s="13">
        <f>D71*D70/1000*D72</f>
        <v>293.4409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6.71"/>
    <col customWidth="1" min="2" max="2" width="13.14"/>
    <col customWidth="1" min="3" max="3" width="14.86"/>
    <col customWidth="1" min="4" max="4" width="12.14"/>
  </cols>
  <sheetData>
    <row r="1">
      <c r="A1" s="1" t="s">
        <v>253</v>
      </c>
    </row>
    <row r="2">
      <c r="A2" s="2" t="s">
        <v>254</v>
      </c>
      <c r="D2" s="2">
        <v>2.3</v>
      </c>
      <c r="E2" s="2" t="s">
        <v>256</v>
      </c>
    </row>
    <row r="3">
      <c r="A3" s="2" t="s">
        <v>258</v>
      </c>
      <c r="B3" s="2"/>
      <c r="C3" s="2" t="s">
        <v>144</v>
      </c>
      <c r="D3" s="2">
        <v>100.0</v>
      </c>
      <c r="E3" s="2" t="s">
        <v>260</v>
      </c>
    </row>
    <row r="4">
      <c r="A4" s="2" t="s">
        <v>261</v>
      </c>
      <c r="B4" s="2"/>
      <c r="C4" s="2" t="s">
        <v>144</v>
      </c>
      <c r="D4" s="2">
        <v>2.14</v>
      </c>
      <c r="E4" s="2" t="s">
        <v>262</v>
      </c>
    </row>
    <row r="5">
      <c r="A5" s="2" t="s">
        <v>263</v>
      </c>
      <c r="D5" s="10">
        <v>0.25</v>
      </c>
    </row>
    <row r="6">
      <c r="A6" s="2"/>
      <c r="B6" s="2"/>
      <c r="C6" s="2"/>
      <c r="D6" s="2"/>
    </row>
    <row r="7">
      <c r="A7" s="2" t="s">
        <v>265</v>
      </c>
      <c r="B7" s="2"/>
      <c r="C7" s="2" t="s">
        <v>26</v>
      </c>
      <c r="D7" s="2">
        <v>100.0</v>
      </c>
    </row>
    <row r="8">
      <c r="A8" s="2" t="s">
        <v>267</v>
      </c>
      <c r="B8" s="2"/>
      <c r="C8" s="2" t="s">
        <v>26</v>
      </c>
      <c r="D8" s="2">
        <v>250.0</v>
      </c>
      <c r="E8" s="2" t="s">
        <v>268</v>
      </c>
    </row>
    <row r="9">
      <c r="A9" s="2" t="s">
        <v>269</v>
      </c>
      <c r="B9" s="2"/>
      <c r="C9" s="2" t="s">
        <v>270</v>
      </c>
      <c r="D9" s="29">
        <f>(D8*1000)/(D4*365*24*2)</f>
        <v>6.667946912</v>
      </c>
      <c r="E9" s="2"/>
    </row>
    <row r="10">
      <c r="A10" s="2" t="s">
        <v>272</v>
      </c>
      <c r="B10" s="2"/>
      <c r="C10" s="2" t="s">
        <v>273</v>
      </c>
      <c r="D10" s="29">
        <f>'Propellant production'!D89</f>
        <v>124870.1981</v>
      </c>
    </row>
    <row r="11">
      <c r="A11" s="2" t="s">
        <v>278</v>
      </c>
      <c r="B11" s="2"/>
      <c r="C11" s="2" t="s">
        <v>99</v>
      </c>
      <c r="D11" s="29">
        <f>D10*D9/3600</f>
        <v>231.2855143</v>
      </c>
      <c r="E11" s="2"/>
    </row>
    <row r="12">
      <c r="A12" s="2" t="s">
        <v>282</v>
      </c>
      <c r="B12" s="2"/>
      <c r="C12" s="2" t="s">
        <v>284</v>
      </c>
      <c r="D12" s="2">
        <v>5.0</v>
      </c>
      <c r="E12" s="2" t="s">
        <v>286</v>
      </c>
    </row>
    <row r="13">
      <c r="A13" s="2" t="s">
        <v>287</v>
      </c>
      <c r="B13" s="2"/>
      <c r="C13" s="2" t="s">
        <v>289</v>
      </c>
      <c r="D13" s="2">
        <v>3.0</v>
      </c>
      <c r="E13" s="2" t="s">
        <v>291</v>
      </c>
    </row>
    <row r="14">
      <c r="A14" s="2" t="s">
        <v>292</v>
      </c>
      <c r="D14" s="2">
        <v>0.05</v>
      </c>
      <c r="E14" s="2" t="s">
        <v>294</v>
      </c>
    </row>
    <row r="15">
      <c r="A15" s="2" t="s">
        <v>295</v>
      </c>
      <c r="B15" s="2"/>
      <c r="C15" s="2" t="s">
        <v>29</v>
      </c>
      <c r="D15" s="2">
        <v>8.0</v>
      </c>
      <c r="F15" s="61" t="s">
        <v>297</v>
      </c>
      <c r="G15" s="63">
        <v>6.4E7</v>
      </c>
      <c r="H15" s="65">
        <f>7300000000</f>
        <v>7300000000</v>
      </c>
      <c r="I15" s="67">
        <f>G15/H15*1000</f>
        <v>8.767123288</v>
      </c>
      <c r="J15" s="2" t="s">
        <v>302</v>
      </c>
    </row>
    <row r="16">
      <c r="A16" s="2" t="s">
        <v>303</v>
      </c>
      <c r="B16" s="2"/>
      <c r="C16" s="2" t="s">
        <v>304</v>
      </c>
      <c r="D16" s="2">
        <v>40.0</v>
      </c>
      <c r="E16" s="2" t="s">
        <v>305</v>
      </c>
    </row>
    <row r="17">
      <c r="A17" s="2" t="s">
        <v>306</v>
      </c>
      <c r="B17" s="2"/>
      <c r="C17" s="2" t="s">
        <v>307</v>
      </c>
      <c r="D17" s="2">
        <v>90000.0</v>
      </c>
      <c r="E17" s="2" t="s">
        <v>308</v>
      </c>
    </row>
    <row r="18">
      <c r="A18" s="2" t="s">
        <v>309</v>
      </c>
      <c r="B18" s="2"/>
      <c r="C18" s="2" t="s">
        <v>99</v>
      </c>
      <c r="D18" s="2">
        <v>6.0</v>
      </c>
      <c r="E18" s="2" t="s">
        <v>310</v>
      </c>
    </row>
    <row r="19">
      <c r="A19" s="2" t="s">
        <v>311</v>
      </c>
      <c r="B19" s="2"/>
      <c r="C19" s="2" t="s">
        <v>41</v>
      </c>
      <c r="D19" s="13">
        <f>580*0.2*0.25*0.8*0.8*0.8*0.8</f>
        <v>11.8784</v>
      </c>
      <c r="E19" s="2" t="s">
        <v>319</v>
      </c>
    </row>
    <row r="20">
      <c r="A20" s="2" t="s">
        <v>321</v>
      </c>
      <c r="B20" s="2"/>
      <c r="C20" s="2" t="s">
        <v>87</v>
      </c>
      <c r="D20" s="71">
        <f>'Solar unit'!C49</f>
        <v>2.992993679</v>
      </c>
      <c r="E20" s="2" t="s">
        <v>328</v>
      </c>
    </row>
    <row r="21">
      <c r="A21" s="2"/>
    </row>
    <row r="22">
      <c r="A22" s="1" t="s">
        <v>329</v>
      </c>
    </row>
    <row r="23">
      <c r="A23" s="2" t="s">
        <v>330</v>
      </c>
      <c r="B23" s="2"/>
      <c r="C23" s="2"/>
      <c r="D23" s="2">
        <v>2030.0</v>
      </c>
      <c r="E23" s="2">
        <v>2032.0</v>
      </c>
      <c r="F23" s="2">
        <v>2034.0</v>
      </c>
      <c r="G23" s="2">
        <v>2036.0</v>
      </c>
      <c r="H23" s="74">
        <v>2038.0</v>
      </c>
      <c r="I23" s="75">
        <v>2040.0</v>
      </c>
      <c r="J23" s="2">
        <v>2042.0</v>
      </c>
      <c r="K23" s="2">
        <v>2050.0</v>
      </c>
      <c r="L23" s="2">
        <v>2060.0</v>
      </c>
      <c r="M23" s="2">
        <v>2080.0</v>
      </c>
      <c r="N23" s="2">
        <v>2100.0</v>
      </c>
      <c r="O23" s="2">
        <v>2150.0</v>
      </c>
      <c r="P23" s="2">
        <v>2200.0</v>
      </c>
      <c r="Q23" s="2">
        <v>2250.0</v>
      </c>
      <c r="R23" s="2">
        <v>2350.0</v>
      </c>
    </row>
    <row r="24">
      <c r="A24" s="2" t="s">
        <v>336</v>
      </c>
      <c r="B24" s="2"/>
      <c r="C24" s="2" t="s">
        <v>144</v>
      </c>
      <c r="D24" s="14">
        <v>0.0</v>
      </c>
      <c r="E24" s="16">
        <f t="shared" ref="E24:R24" si="1">E23-D23</f>
        <v>2</v>
      </c>
      <c r="F24" s="16">
        <f t="shared" si="1"/>
        <v>2</v>
      </c>
      <c r="G24" s="16">
        <f t="shared" si="1"/>
        <v>2</v>
      </c>
      <c r="H24" s="78">
        <f t="shared" si="1"/>
        <v>2</v>
      </c>
      <c r="I24" s="80">
        <f t="shared" si="1"/>
        <v>2</v>
      </c>
      <c r="J24" s="16">
        <f t="shared" si="1"/>
        <v>2</v>
      </c>
      <c r="K24" s="16">
        <f t="shared" si="1"/>
        <v>8</v>
      </c>
      <c r="L24" s="16">
        <f t="shared" si="1"/>
        <v>10</v>
      </c>
      <c r="M24" s="16">
        <f t="shared" si="1"/>
        <v>20</v>
      </c>
      <c r="N24" s="16">
        <f t="shared" si="1"/>
        <v>20</v>
      </c>
      <c r="O24" s="16">
        <f t="shared" si="1"/>
        <v>50</v>
      </c>
      <c r="P24" s="16">
        <f t="shared" si="1"/>
        <v>50</v>
      </c>
      <c r="Q24" s="16">
        <f t="shared" si="1"/>
        <v>50</v>
      </c>
      <c r="R24" s="16">
        <f t="shared" si="1"/>
        <v>100</v>
      </c>
    </row>
    <row r="25">
      <c r="A25" s="2" t="s">
        <v>353</v>
      </c>
      <c r="B25" s="2"/>
      <c r="C25" s="2"/>
      <c r="D25" s="14">
        <v>0.0</v>
      </c>
      <c r="E25" s="16">
        <f t="shared" ref="E25:R25" si="2">E24+D25</f>
        <v>2</v>
      </c>
      <c r="F25" s="16">
        <f t="shared" si="2"/>
        <v>4</v>
      </c>
      <c r="G25" s="16">
        <f t="shared" si="2"/>
        <v>6</v>
      </c>
      <c r="H25" s="78">
        <f t="shared" si="2"/>
        <v>8</v>
      </c>
      <c r="I25" s="80">
        <f t="shared" si="2"/>
        <v>10</v>
      </c>
      <c r="J25" s="16">
        <f t="shared" si="2"/>
        <v>12</v>
      </c>
      <c r="K25" s="16">
        <f t="shared" si="2"/>
        <v>20</v>
      </c>
      <c r="L25" s="16">
        <f t="shared" si="2"/>
        <v>30</v>
      </c>
      <c r="M25" s="16">
        <f t="shared" si="2"/>
        <v>50</v>
      </c>
      <c r="N25" s="16">
        <f t="shared" si="2"/>
        <v>70</v>
      </c>
      <c r="O25" s="16">
        <f t="shared" si="2"/>
        <v>120</v>
      </c>
      <c r="P25" s="16">
        <f t="shared" si="2"/>
        <v>170</v>
      </c>
      <c r="Q25" s="16">
        <f t="shared" si="2"/>
        <v>220</v>
      </c>
      <c r="R25" s="16">
        <f t="shared" si="2"/>
        <v>320</v>
      </c>
    </row>
    <row r="26">
      <c r="A26" s="1" t="s">
        <v>362</v>
      </c>
      <c r="B26" s="2"/>
      <c r="C26" s="2"/>
      <c r="D26" s="2"/>
      <c r="H26" s="87"/>
      <c r="I26" s="89"/>
    </row>
    <row r="27">
      <c r="A27" s="2" t="s">
        <v>366</v>
      </c>
      <c r="B27" s="2"/>
      <c r="C27" s="2"/>
      <c r="D27" s="2">
        <v>0.0</v>
      </c>
      <c r="E27" s="2">
        <v>2.0</v>
      </c>
      <c r="F27" s="2">
        <v>4.0</v>
      </c>
      <c r="G27" s="2">
        <v>6.0</v>
      </c>
      <c r="H27" s="91">
        <v>8.0</v>
      </c>
      <c r="I27" s="93">
        <v>10.0</v>
      </c>
      <c r="J27" s="2">
        <v>12.0</v>
      </c>
      <c r="K27" s="2">
        <v>20.0</v>
      </c>
      <c r="L27" s="2">
        <v>30.0</v>
      </c>
      <c r="M27" s="2">
        <v>50.0</v>
      </c>
      <c r="N27" s="2">
        <v>80.0</v>
      </c>
      <c r="O27" s="2">
        <v>100.0</v>
      </c>
      <c r="P27" s="2">
        <v>100.0</v>
      </c>
      <c r="Q27" s="2">
        <v>100.0</v>
      </c>
      <c r="R27" s="2">
        <v>100.0</v>
      </c>
    </row>
    <row r="28">
      <c r="A28" s="2" t="s">
        <v>371</v>
      </c>
      <c r="D28" s="71">
        <v>0.0</v>
      </c>
      <c r="E28" s="71">
        <f t="shared" ref="E28:R28" si="3">E24/$D$4*E27</f>
        <v>1.869158879</v>
      </c>
      <c r="F28" s="71">
        <f t="shared" si="3"/>
        <v>3.738317757</v>
      </c>
      <c r="G28" s="71">
        <f t="shared" si="3"/>
        <v>5.607476636</v>
      </c>
      <c r="H28" s="71">
        <f t="shared" si="3"/>
        <v>7.476635514</v>
      </c>
      <c r="I28" s="96">
        <f t="shared" si="3"/>
        <v>9.345794393</v>
      </c>
      <c r="J28" s="71">
        <f t="shared" si="3"/>
        <v>11.21495327</v>
      </c>
      <c r="K28" s="71">
        <f t="shared" si="3"/>
        <v>74.76635514</v>
      </c>
      <c r="L28" s="71">
        <f t="shared" si="3"/>
        <v>140.1869159</v>
      </c>
      <c r="M28" s="71">
        <f t="shared" si="3"/>
        <v>467.2897196</v>
      </c>
      <c r="N28" s="71">
        <f t="shared" si="3"/>
        <v>747.6635514</v>
      </c>
      <c r="O28" s="71">
        <f t="shared" si="3"/>
        <v>2336.448598</v>
      </c>
      <c r="P28" s="71">
        <f t="shared" si="3"/>
        <v>2336.448598</v>
      </c>
      <c r="Q28" s="71">
        <f t="shared" si="3"/>
        <v>2336.448598</v>
      </c>
      <c r="R28" s="71">
        <f t="shared" si="3"/>
        <v>4672.897196</v>
      </c>
    </row>
    <row r="29">
      <c r="A29" s="2" t="s">
        <v>374</v>
      </c>
      <c r="D29" s="2">
        <v>0.0</v>
      </c>
      <c r="E29" s="2">
        <v>20.0</v>
      </c>
      <c r="F29" s="2">
        <v>50.0</v>
      </c>
      <c r="G29" s="2">
        <v>50.0</v>
      </c>
      <c r="H29" s="91">
        <v>50.0</v>
      </c>
      <c r="I29" s="93">
        <v>50.0</v>
      </c>
      <c r="J29" s="2">
        <v>100.0</v>
      </c>
      <c r="K29" s="2">
        <v>100.0</v>
      </c>
      <c r="L29" s="2">
        <v>150.0</v>
      </c>
      <c r="M29" s="2">
        <v>150.0</v>
      </c>
      <c r="N29" s="2">
        <v>200.0</v>
      </c>
      <c r="O29" s="2">
        <v>250.0</v>
      </c>
      <c r="P29" s="2">
        <v>250.0</v>
      </c>
      <c r="Q29" s="2">
        <v>250.0</v>
      </c>
      <c r="R29" s="2">
        <v>250.0</v>
      </c>
    </row>
    <row r="30">
      <c r="A30" s="2" t="s">
        <v>377</v>
      </c>
      <c r="B30" s="2"/>
      <c r="C30" s="2"/>
      <c r="D30" s="102">
        <f>D29*D27</f>
        <v>0</v>
      </c>
      <c r="E30" s="102">
        <f t="shared" ref="E30:J30" si="4">E29*E28*(1-$D$5)</f>
        <v>28.03738318</v>
      </c>
      <c r="F30" s="102">
        <f t="shared" si="4"/>
        <v>140.1869159</v>
      </c>
      <c r="G30" s="102">
        <f t="shared" si="4"/>
        <v>210.2803738</v>
      </c>
      <c r="H30" s="102">
        <f t="shared" si="4"/>
        <v>280.3738318</v>
      </c>
      <c r="I30" s="106">
        <f t="shared" si="4"/>
        <v>350.4672897</v>
      </c>
      <c r="J30" s="102">
        <f t="shared" si="4"/>
        <v>841.1214953</v>
      </c>
      <c r="K30" s="102">
        <f t="shared" ref="K30:R30" si="5">K29*K28</f>
        <v>7476.635514</v>
      </c>
      <c r="L30" s="102">
        <f t="shared" si="5"/>
        <v>21028.03738</v>
      </c>
      <c r="M30" s="102">
        <f t="shared" si="5"/>
        <v>70093.45794</v>
      </c>
      <c r="N30" s="102">
        <f t="shared" si="5"/>
        <v>149532.7103</v>
      </c>
      <c r="O30" s="102">
        <f t="shared" si="5"/>
        <v>584112.1495</v>
      </c>
      <c r="P30" s="102">
        <f t="shared" si="5"/>
        <v>584112.1495</v>
      </c>
      <c r="Q30" s="102">
        <f t="shared" si="5"/>
        <v>584112.1495</v>
      </c>
      <c r="R30" s="102">
        <f t="shared" si="5"/>
        <v>1168224.299</v>
      </c>
    </row>
    <row r="31">
      <c r="A31" s="1" t="s">
        <v>383</v>
      </c>
      <c r="B31" s="1"/>
      <c r="C31" s="1"/>
      <c r="D31" s="112">
        <f>D30</f>
        <v>0</v>
      </c>
      <c r="E31" s="112">
        <f t="shared" ref="E31:H31" si="6">E30+D31</f>
        <v>28.03738318</v>
      </c>
      <c r="F31" s="112">
        <f t="shared" si="6"/>
        <v>168.2242991</v>
      </c>
      <c r="G31" s="112">
        <f t="shared" si="6"/>
        <v>378.5046729</v>
      </c>
      <c r="H31" s="112">
        <f t="shared" si="6"/>
        <v>658.8785047</v>
      </c>
      <c r="I31" s="119">
        <f t="shared" ref="I31:R31" si="7">I30+H31+H34</f>
        <v>1011.32243</v>
      </c>
      <c r="J31" s="112">
        <f t="shared" si="7"/>
        <v>1855.477893</v>
      </c>
      <c r="K31" s="112">
        <f t="shared" si="7"/>
        <v>9337.67984</v>
      </c>
      <c r="L31" s="112">
        <f t="shared" si="7"/>
        <v>30477.76938</v>
      </c>
      <c r="M31" s="112">
        <f t="shared" si="7"/>
        <v>101028.3939</v>
      </c>
      <c r="N31" s="112">
        <f t="shared" si="7"/>
        <v>253591.956</v>
      </c>
      <c r="O31" s="112">
        <f t="shared" si="7"/>
        <v>845311.8642</v>
      </c>
      <c r="P31" s="112">
        <f t="shared" si="7"/>
        <v>1492822.404</v>
      </c>
      <c r="Q31" s="112">
        <f t="shared" si="7"/>
        <v>2188896.233</v>
      </c>
      <c r="R31" s="112">
        <f t="shared" si="7"/>
        <v>3521287.75</v>
      </c>
    </row>
    <row r="32">
      <c r="A32" s="2" t="s">
        <v>394</v>
      </c>
      <c r="D32" s="123">
        <v>0.0</v>
      </c>
      <c r="E32" s="15">
        <f t="shared" ref="E32:R32" si="8">E31/2/5/20*$D$2</f>
        <v>0.3224299065</v>
      </c>
      <c r="F32" s="128">
        <f t="shared" si="8"/>
        <v>1.934579439</v>
      </c>
      <c r="G32" s="128">
        <f t="shared" si="8"/>
        <v>4.352803738</v>
      </c>
      <c r="H32" s="131">
        <f t="shared" si="8"/>
        <v>7.577102804</v>
      </c>
      <c r="I32" s="133">
        <f t="shared" si="8"/>
        <v>11.63020794</v>
      </c>
      <c r="J32" s="128">
        <f t="shared" si="8"/>
        <v>21.33799576</v>
      </c>
      <c r="K32" s="128">
        <f t="shared" si="8"/>
        <v>107.3833182</v>
      </c>
      <c r="L32" s="128">
        <f t="shared" si="8"/>
        <v>350.4943479</v>
      </c>
      <c r="M32" s="128">
        <f t="shared" si="8"/>
        <v>1161.826529</v>
      </c>
      <c r="N32" s="128">
        <f t="shared" si="8"/>
        <v>2916.307494</v>
      </c>
      <c r="O32" s="128">
        <f t="shared" si="8"/>
        <v>9721.086438</v>
      </c>
      <c r="P32" s="128">
        <f t="shared" si="8"/>
        <v>17167.45764</v>
      </c>
      <c r="Q32" s="128">
        <f t="shared" si="8"/>
        <v>25172.30668</v>
      </c>
      <c r="R32" s="128">
        <f t="shared" si="8"/>
        <v>40494.80912</v>
      </c>
    </row>
    <row r="33">
      <c r="A33" s="2" t="s">
        <v>410</v>
      </c>
      <c r="D33" s="15">
        <f t="shared" ref="D33:F33" si="9">D31/2/5/20*2</f>
        <v>0</v>
      </c>
      <c r="E33" s="15">
        <f t="shared" si="9"/>
        <v>0.2803738318</v>
      </c>
      <c r="F33" s="128">
        <f t="shared" si="9"/>
        <v>1.682242991</v>
      </c>
      <c r="G33" s="128">
        <f>G31/5/20</f>
        <v>3.785046729</v>
      </c>
      <c r="H33" s="131">
        <f t="shared" ref="H33:R33" si="10">H31/2/5/20*2</f>
        <v>6.588785047</v>
      </c>
      <c r="I33" s="133">
        <f t="shared" si="10"/>
        <v>10.1132243</v>
      </c>
      <c r="J33" s="128">
        <f t="shared" si="10"/>
        <v>18.55477893</v>
      </c>
      <c r="K33" s="128">
        <f t="shared" si="10"/>
        <v>93.3767984</v>
      </c>
      <c r="L33" s="128">
        <f t="shared" si="10"/>
        <v>304.7776938</v>
      </c>
      <c r="M33" s="128">
        <f t="shared" si="10"/>
        <v>1010.283939</v>
      </c>
      <c r="N33" s="128">
        <f t="shared" si="10"/>
        <v>2535.91956</v>
      </c>
      <c r="O33" s="128">
        <f t="shared" si="10"/>
        <v>8453.118642</v>
      </c>
      <c r="P33" s="128">
        <f t="shared" si="10"/>
        <v>14928.22404</v>
      </c>
      <c r="Q33" s="128">
        <f t="shared" si="10"/>
        <v>21888.96233</v>
      </c>
      <c r="R33" s="128">
        <f t="shared" si="10"/>
        <v>35212.8775</v>
      </c>
    </row>
    <row r="34">
      <c r="A34" s="2" t="s">
        <v>414</v>
      </c>
      <c r="D34" s="15">
        <f>D32-D33*D24</f>
        <v>0</v>
      </c>
      <c r="E34" s="15">
        <f t="shared" ref="E34:R34" si="11">(E32-E33)*E24</f>
        <v>0.08411214953</v>
      </c>
      <c r="F34" s="128">
        <f t="shared" si="11"/>
        <v>0.5046728972</v>
      </c>
      <c r="G34" s="128">
        <f t="shared" si="11"/>
        <v>1.135514019</v>
      </c>
      <c r="H34" s="131">
        <f t="shared" si="11"/>
        <v>1.976635514</v>
      </c>
      <c r="I34" s="133">
        <f t="shared" si="11"/>
        <v>3.03396729</v>
      </c>
      <c r="J34" s="128">
        <f t="shared" si="11"/>
        <v>5.566433678</v>
      </c>
      <c r="K34" s="128">
        <f t="shared" si="11"/>
        <v>112.0521581</v>
      </c>
      <c r="L34" s="128">
        <f t="shared" si="11"/>
        <v>457.1665407</v>
      </c>
      <c r="M34" s="128">
        <f t="shared" si="11"/>
        <v>3030.851816</v>
      </c>
      <c r="N34" s="128">
        <f t="shared" si="11"/>
        <v>7607.758679</v>
      </c>
      <c r="O34" s="128">
        <f t="shared" si="11"/>
        <v>63398.38981</v>
      </c>
      <c r="P34" s="128">
        <f t="shared" si="11"/>
        <v>111961.6803</v>
      </c>
      <c r="Q34" s="128">
        <f t="shared" si="11"/>
        <v>164167.2175</v>
      </c>
      <c r="R34" s="128">
        <f t="shared" si="11"/>
        <v>528193.1625</v>
      </c>
    </row>
    <row r="35">
      <c r="A35" s="2" t="s">
        <v>417</v>
      </c>
      <c r="D35" s="128"/>
      <c r="E35" s="128">
        <f t="shared" ref="E35:R35" si="12">E31*0.25</f>
        <v>7.009345794</v>
      </c>
      <c r="F35" s="128">
        <f t="shared" si="12"/>
        <v>42.05607477</v>
      </c>
      <c r="G35" s="128">
        <f t="shared" si="12"/>
        <v>94.62616822</v>
      </c>
      <c r="H35" s="131">
        <f t="shared" si="12"/>
        <v>164.7196262</v>
      </c>
      <c r="I35" s="133">
        <f t="shared" si="12"/>
        <v>252.8306075</v>
      </c>
      <c r="J35" s="128">
        <f t="shared" si="12"/>
        <v>463.8694731</v>
      </c>
      <c r="K35" s="128">
        <f t="shared" si="12"/>
        <v>2334.41996</v>
      </c>
      <c r="L35" s="128">
        <f t="shared" si="12"/>
        <v>7619.442345</v>
      </c>
      <c r="M35" s="128">
        <f t="shared" si="12"/>
        <v>25257.09847</v>
      </c>
      <c r="N35" s="128">
        <f t="shared" si="12"/>
        <v>63397.98899</v>
      </c>
      <c r="O35" s="128">
        <f t="shared" si="12"/>
        <v>211327.966</v>
      </c>
      <c r="P35" s="128">
        <f t="shared" si="12"/>
        <v>373205.6009</v>
      </c>
      <c r="Q35" s="128">
        <f t="shared" si="12"/>
        <v>547224.0583</v>
      </c>
      <c r="R35" s="128">
        <f t="shared" si="12"/>
        <v>880321.9375</v>
      </c>
    </row>
    <row r="36">
      <c r="A36" s="2" t="s">
        <v>420</v>
      </c>
      <c r="D36" s="128"/>
      <c r="E36" s="128">
        <f t="shared" ref="E36:R36" si="13">E31*0.25</f>
        <v>7.009345794</v>
      </c>
      <c r="F36" s="128">
        <f t="shared" si="13"/>
        <v>42.05607477</v>
      </c>
      <c r="G36" s="128">
        <f t="shared" si="13"/>
        <v>94.62616822</v>
      </c>
      <c r="H36" s="131">
        <f t="shared" si="13"/>
        <v>164.7196262</v>
      </c>
      <c r="I36" s="133">
        <f t="shared" si="13"/>
        <v>252.8306075</v>
      </c>
      <c r="J36" s="128">
        <f t="shared" si="13"/>
        <v>463.8694731</v>
      </c>
      <c r="K36" s="128">
        <f t="shared" si="13"/>
        <v>2334.41996</v>
      </c>
      <c r="L36" s="128">
        <f t="shared" si="13"/>
        <v>7619.442345</v>
      </c>
      <c r="M36" s="128">
        <f t="shared" si="13"/>
        <v>25257.09847</v>
      </c>
      <c r="N36" s="128">
        <f t="shared" si="13"/>
        <v>63397.98899</v>
      </c>
      <c r="O36" s="128">
        <f t="shared" si="13"/>
        <v>211327.966</v>
      </c>
      <c r="P36" s="128">
        <f t="shared" si="13"/>
        <v>373205.6009</v>
      </c>
      <c r="Q36" s="128">
        <f t="shared" si="13"/>
        <v>547224.0583</v>
      </c>
      <c r="R36" s="128">
        <f t="shared" si="13"/>
        <v>880321.9375</v>
      </c>
    </row>
    <row r="37">
      <c r="A37" s="1" t="s">
        <v>424</v>
      </c>
      <c r="D37" s="2" t="s">
        <v>425</v>
      </c>
      <c r="H37" s="87"/>
      <c r="I37" s="89"/>
      <c r="L37" s="2" t="s">
        <v>426</v>
      </c>
    </row>
    <row r="38">
      <c r="F38" s="2" t="s">
        <v>427</v>
      </c>
      <c r="H38" s="91" t="s">
        <v>428</v>
      </c>
      <c r="I38" s="93"/>
    </row>
    <row r="39">
      <c r="H39" s="87"/>
      <c r="I39" s="89"/>
      <c r="L39" s="2" t="s">
        <v>429</v>
      </c>
      <c r="P39" s="2" t="s">
        <v>432</v>
      </c>
    </row>
    <row r="40">
      <c r="A40" s="1" t="s">
        <v>434</v>
      </c>
      <c r="B40" s="2"/>
      <c r="C40" s="2"/>
      <c r="D40" s="2"/>
      <c r="E40" s="2"/>
      <c r="F40" s="2"/>
      <c r="G40" s="2"/>
      <c r="H40" s="91" t="s">
        <v>435</v>
      </c>
      <c r="I40" s="93"/>
      <c r="J40" s="2"/>
      <c r="K40" s="2"/>
      <c r="L40" s="2"/>
      <c r="M40" s="2"/>
      <c r="N40" s="2"/>
      <c r="O40" s="2"/>
      <c r="P40" s="2"/>
      <c r="Q40" s="2"/>
      <c r="R40" s="2"/>
    </row>
    <row r="41">
      <c r="A41" s="2" t="s">
        <v>436</v>
      </c>
      <c r="B41" s="2"/>
      <c r="C41" s="2" t="s">
        <v>137</v>
      </c>
      <c r="D41" s="2">
        <v>2000.0</v>
      </c>
      <c r="E41" s="2">
        <v>1000.0</v>
      </c>
      <c r="F41" s="2">
        <v>500.0</v>
      </c>
      <c r="G41" s="2">
        <v>500.0</v>
      </c>
      <c r="H41" s="91">
        <v>500.0</v>
      </c>
      <c r="I41" s="93">
        <v>500.0</v>
      </c>
      <c r="J41" s="2">
        <v>400.0</v>
      </c>
      <c r="K41" s="2">
        <v>400.0</v>
      </c>
      <c r="L41" s="2">
        <v>300.0</v>
      </c>
      <c r="M41" s="2">
        <v>300.0</v>
      </c>
      <c r="N41" s="2">
        <v>300.0</v>
      </c>
      <c r="O41" s="2">
        <v>300.0</v>
      </c>
      <c r="P41" s="2">
        <v>300.0</v>
      </c>
      <c r="Q41" s="2">
        <v>300.0</v>
      </c>
      <c r="R41" s="2">
        <v>300.0</v>
      </c>
    </row>
    <row r="42">
      <c r="A42" s="2" t="s">
        <v>437</v>
      </c>
      <c r="B42" s="2"/>
      <c r="C42" s="2"/>
      <c r="D42" s="154"/>
      <c r="E42" s="154"/>
      <c r="F42" s="154">
        <v>4.0</v>
      </c>
      <c r="G42" s="154">
        <v>4.0</v>
      </c>
      <c r="H42" s="154">
        <v>4.0</v>
      </c>
      <c r="I42" s="156">
        <v>4.0</v>
      </c>
      <c r="J42" s="154">
        <v>3.0</v>
      </c>
      <c r="K42" s="154">
        <v>3.0</v>
      </c>
      <c r="L42" s="154">
        <v>2.0</v>
      </c>
      <c r="M42" s="154">
        <v>1.0</v>
      </c>
      <c r="N42" s="154">
        <v>1.0</v>
      </c>
      <c r="O42" s="154">
        <v>1.0</v>
      </c>
      <c r="P42" s="154">
        <v>1.0</v>
      </c>
      <c r="Q42" s="154">
        <v>1.0</v>
      </c>
      <c r="R42" s="154">
        <v>1.0</v>
      </c>
    </row>
    <row r="43">
      <c r="A43" s="2" t="s">
        <v>447</v>
      </c>
      <c r="B43" s="2"/>
      <c r="C43" s="2"/>
      <c r="D43" s="154">
        <v>2.0</v>
      </c>
      <c r="E43" s="154">
        <v>2.0</v>
      </c>
      <c r="F43" s="154">
        <f t="shared" ref="F43:R43" si="14">F28*F42</f>
        <v>14.95327103</v>
      </c>
      <c r="G43" s="154">
        <f t="shared" si="14"/>
        <v>22.42990654</v>
      </c>
      <c r="H43" s="154">
        <f t="shared" si="14"/>
        <v>29.90654206</v>
      </c>
      <c r="I43" s="154">
        <f t="shared" si="14"/>
        <v>37.38317757</v>
      </c>
      <c r="J43" s="154">
        <f t="shared" si="14"/>
        <v>33.64485981</v>
      </c>
      <c r="K43" s="154">
        <f t="shared" si="14"/>
        <v>224.2990654</v>
      </c>
      <c r="L43" s="154">
        <f t="shared" si="14"/>
        <v>280.3738318</v>
      </c>
      <c r="M43" s="154">
        <f t="shared" si="14"/>
        <v>467.2897196</v>
      </c>
      <c r="N43" s="154">
        <f t="shared" si="14"/>
        <v>747.6635514</v>
      </c>
      <c r="O43" s="154">
        <f t="shared" si="14"/>
        <v>2336.448598</v>
      </c>
      <c r="P43" s="154">
        <f t="shared" si="14"/>
        <v>2336.448598</v>
      </c>
      <c r="Q43" s="154">
        <f t="shared" si="14"/>
        <v>2336.448598</v>
      </c>
      <c r="R43" s="154">
        <f t="shared" si="14"/>
        <v>4672.897196</v>
      </c>
    </row>
    <row r="44">
      <c r="A44" s="2" t="s">
        <v>450</v>
      </c>
      <c r="B44" s="2"/>
      <c r="C44" s="2"/>
      <c r="D44" s="154">
        <v>100.0</v>
      </c>
      <c r="E44" s="154">
        <v>100.0</v>
      </c>
      <c r="F44" s="154">
        <v>100.0</v>
      </c>
      <c r="G44" s="154">
        <v>100.0</v>
      </c>
      <c r="H44" s="154">
        <v>100.0</v>
      </c>
      <c r="I44" s="156">
        <v>100.0</v>
      </c>
      <c r="J44" s="154">
        <v>100.0</v>
      </c>
      <c r="K44" s="154">
        <v>100.0</v>
      </c>
      <c r="L44" s="154">
        <v>150.0</v>
      </c>
      <c r="M44" s="154">
        <v>150.0</v>
      </c>
      <c r="N44" s="154">
        <v>200.0</v>
      </c>
      <c r="O44" s="154">
        <v>250.0</v>
      </c>
      <c r="P44" s="154">
        <v>250.0</v>
      </c>
      <c r="Q44" s="154">
        <v>250.0</v>
      </c>
      <c r="R44" s="154">
        <v>250.0</v>
      </c>
    </row>
    <row r="45">
      <c r="A45" s="2" t="s">
        <v>24</v>
      </c>
      <c r="B45" s="2"/>
      <c r="C45" s="2" t="s">
        <v>26</v>
      </c>
      <c r="D45" s="128">
        <f t="shared" ref="D45:R45" si="15">D44*D43</f>
        <v>200</v>
      </c>
      <c r="E45" s="128">
        <f t="shared" si="15"/>
        <v>200</v>
      </c>
      <c r="F45" s="128">
        <f t="shared" si="15"/>
        <v>1495.327103</v>
      </c>
      <c r="G45" s="128">
        <f t="shared" si="15"/>
        <v>2242.990654</v>
      </c>
      <c r="H45" s="128">
        <f t="shared" si="15"/>
        <v>2990.654206</v>
      </c>
      <c r="I45" s="133">
        <f t="shared" si="15"/>
        <v>3738.317757</v>
      </c>
      <c r="J45" s="128">
        <f t="shared" si="15"/>
        <v>3364.485981</v>
      </c>
      <c r="K45" s="128">
        <f t="shared" si="15"/>
        <v>22429.90654</v>
      </c>
      <c r="L45" s="128">
        <f t="shared" si="15"/>
        <v>42056.07477</v>
      </c>
      <c r="M45" s="128">
        <f t="shared" si="15"/>
        <v>70093.45794</v>
      </c>
      <c r="N45" s="128">
        <f t="shared" si="15"/>
        <v>149532.7103</v>
      </c>
      <c r="O45" s="128">
        <f t="shared" si="15"/>
        <v>584112.1495</v>
      </c>
      <c r="P45" s="128">
        <f t="shared" si="15"/>
        <v>584112.1495</v>
      </c>
      <c r="Q45" s="128">
        <f t="shared" si="15"/>
        <v>584112.1495</v>
      </c>
      <c r="R45" s="128">
        <f t="shared" si="15"/>
        <v>1168224.299</v>
      </c>
    </row>
    <row r="46">
      <c r="A46" s="2" t="s">
        <v>454</v>
      </c>
      <c r="D46" s="128">
        <f>D45</f>
        <v>200</v>
      </c>
      <c r="E46" s="128">
        <f t="shared" ref="E46:R46" si="16">E45+D46</f>
        <v>400</v>
      </c>
      <c r="F46" s="128">
        <f t="shared" si="16"/>
        <v>1895.327103</v>
      </c>
      <c r="G46" s="128">
        <f t="shared" si="16"/>
        <v>4138.317757</v>
      </c>
      <c r="H46" s="131">
        <f t="shared" si="16"/>
        <v>7128.971963</v>
      </c>
      <c r="I46" s="133">
        <f t="shared" si="16"/>
        <v>10867.28972</v>
      </c>
      <c r="J46" s="128">
        <f t="shared" si="16"/>
        <v>14231.7757</v>
      </c>
      <c r="K46" s="128">
        <f t="shared" si="16"/>
        <v>36661.68224</v>
      </c>
      <c r="L46" s="128">
        <f t="shared" si="16"/>
        <v>78717.75701</v>
      </c>
      <c r="M46" s="128">
        <f t="shared" si="16"/>
        <v>148811.215</v>
      </c>
      <c r="N46" s="128">
        <f t="shared" si="16"/>
        <v>298343.9252</v>
      </c>
      <c r="O46" s="128">
        <f t="shared" si="16"/>
        <v>882456.0748</v>
      </c>
      <c r="P46" s="128">
        <f t="shared" si="16"/>
        <v>1466568.224</v>
      </c>
      <c r="Q46" s="128">
        <f t="shared" si="16"/>
        <v>2050680.374</v>
      </c>
      <c r="R46" s="128">
        <f t="shared" si="16"/>
        <v>3218904.673</v>
      </c>
    </row>
    <row r="47">
      <c r="A47" s="1" t="s">
        <v>459</v>
      </c>
      <c r="B47" s="2"/>
      <c r="C47" s="2" t="s">
        <v>460</v>
      </c>
      <c r="D47" s="128">
        <f t="shared" ref="D47:R47" si="17">D41*D46*1000/1000000</f>
        <v>400</v>
      </c>
      <c r="E47" s="128">
        <f t="shared" si="17"/>
        <v>400</v>
      </c>
      <c r="F47" s="128">
        <f t="shared" si="17"/>
        <v>947.6635514</v>
      </c>
      <c r="G47" s="128">
        <f t="shared" si="17"/>
        <v>2069.158879</v>
      </c>
      <c r="H47" s="131">
        <f t="shared" si="17"/>
        <v>3564.485981</v>
      </c>
      <c r="I47" s="133">
        <f t="shared" si="17"/>
        <v>5433.64486</v>
      </c>
      <c r="J47" s="128">
        <f t="shared" si="17"/>
        <v>5692.71028</v>
      </c>
      <c r="K47" s="128">
        <f t="shared" si="17"/>
        <v>14664.6729</v>
      </c>
      <c r="L47" s="128">
        <f t="shared" si="17"/>
        <v>23615.3271</v>
      </c>
      <c r="M47" s="128">
        <f t="shared" si="17"/>
        <v>44643.36449</v>
      </c>
      <c r="N47" s="128">
        <f t="shared" si="17"/>
        <v>89503.17757</v>
      </c>
      <c r="O47" s="128">
        <f t="shared" si="17"/>
        <v>264736.8224</v>
      </c>
      <c r="P47" s="128">
        <f t="shared" si="17"/>
        <v>439970.4673</v>
      </c>
      <c r="Q47" s="128">
        <f t="shared" si="17"/>
        <v>615204.1121</v>
      </c>
      <c r="R47" s="128">
        <f t="shared" si="17"/>
        <v>965671.4019</v>
      </c>
    </row>
    <row r="48">
      <c r="A48" s="1" t="s">
        <v>472</v>
      </c>
      <c r="B48" s="2">
        <v>0.5</v>
      </c>
      <c r="C48" s="2" t="s">
        <v>473</v>
      </c>
      <c r="D48" s="128"/>
      <c r="E48" s="128">
        <f t="shared" ref="E48:R48" si="18">E27*E29*$B$48</f>
        <v>20</v>
      </c>
      <c r="F48" s="128">
        <f t="shared" si="18"/>
        <v>100</v>
      </c>
      <c r="G48" s="128">
        <f t="shared" si="18"/>
        <v>150</v>
      </c>
      <c r="H48" s="128">
        <f t="shared" si="18"/>
        <v>200</v>
      </c>
      <c r="I48" s="128">
        <f t="shared" si="18"/>
        <v>250</v>
      </c>
      <c r="J48" s="128">
        <f t="shared" si="18"/>
        <v>600</v>
      </c>
      <c r="K48" s="128">
        <f t="shared" si="18"/>
        <v>1000</v>
      </c>
      <c r="L48" s="128">
        <f t="shared" si="18"/>
        <v>2250</v>
      </c>
      <c r="M48" s="128">
        <f t="shared" si="18"/>
        <v>3750</v>
      </c>
      <c r="N48" s="128">
        <f t="shared" si="18"/>
        <v>8000</v>
      </c>
      <c r="O48" s="128">
        <f t="shared" si="18"/>
        <v>12500</v>
      </c>
      <c r="P48" s="128">
        <f t="shared" si="18"/>
        <v>12500</v>
      </c>
      <c r="Q48" s="128">
        <f t="shared" si="18"/>
        <v>12500</v>
      </c>
      <c r="R48" s="128">
        <f t="shared" si="18"/>
        <v>12500</v>
      </c>
    </row>
    <row r="49">
      <c r="A49" s="1" t="s">
        <v>306</v>
      </c>
      <c r="B49" s="2"/>
      <c r="C49" s="2" t="s">
        <v>460</v>
      </c>
      <c r="D49" s="128">
        <f t="shared" ref="D49:R49" si="19">D31*$D$17/1000000*D24</f>
        <v>0</v>
      </c>
      <c r="E49" s="128">
        <f t="shared" si="19"/>
        <v>5.046728972</v>
      </c>
      <c r="F49" s="128">
        <f t="shared" si="19"/>
        <v>30.28037383</v>
      </c>
      <c r="G49" s="128">
        <f t="shared" si="19"/>
        <v>68.13084112</v>
      </c>
      <c r="H49" s="131">
        <f t="shared" si="19"/>
        <v>118.5981308</v>
      </c>
      <c r="I49" s="133">
        <f t="shared" si="19"/>
        <v>182.0380374</v>
      </c>
      <c r="J49" s="128">
        <f t="shared" si="19"/>
        <v>333.9860207</v>
      </c>
      <c r="K49" s="128">
        <f t="shared" si="19"/>
        <v>6723.129485</v>
      </c>
      <c r="L49" s="128">
        <f t="shared" si="19"/>
        <v>27429.99244</v>
      </c>
      <c r="M49" s="128">
        <f t="shared" si="19"/>
        <v>181851.109</v>
      </c>
      <c r="N49" s="128">
        <f t="shared" si="19"/>
        <v>456465.5207</v>
      </c>
      <c r="O49" s="128">
        <f t="shared" si="19"/>
        <v>3803903.389</v>
      </c>
      <c r="P49" s="128">
        <f t="shared" si="19"/>
        <v>6717700.816</v>
      </c>
      <c r="Q49" s="128">
        <f t="shared" si="19"/>
        <v>9850033.05</v>
      </c>
      <c r="R49" s="128">
        <f t="shared" si="19"/>
        <v>31691589.75</v>
      </c>
    </row>
    <row r="50">
      <c r="A50" s="1" t="s">
        <v>492</v>
      </c>
      <c r="D50" s="174"/>
      <c r="E50" s="174">
        <f t="shared" ref="E50:R50" si="20">E47/E49</f>
        <v>79.25925926</v>
      </c>
      <c r="F50" s="174">
        <f t="shared" si="20"/>
        <v>31.2962963</v>
      </c>
      <c r="G50" s="174">
        <f t="shared" si="20"/>
        <v>30.37037037</v>
      </c>
      <c r="H50" s="176">
        <f t="shared" si="20"/>
        <v>30.05516154</v>
      </c>
      <c r="I50" s="180">
        <f t="shared" si="20"/>
        <v>29.84895321</v>
      </c>
      <c r="J50" s="174">
        <f t="shared" si="20"/>
        <v>17.04475615</v>
      </c>
      <c r="K50" s="174">
        <f t="shared" si="20"/>
        <v>2.181227199</v>
      </c>
      <c r="L50" s="174">
        <f t="shared" si="20"/>
        <v>0.8609308643</v>
      </c>
      <c r="M50" s="174">
        <f t="shared" si="20"/>
        <v>0.2454940459</v>
      </c>
      <c r="N50" s="174">
        <f t="shared" si="20"/>
        <v>0.1960787256</v>
      </c>
      <c r="O50" s="174">
        <f t="shared" si="20"/>
        <v>0.06959609521</v>
      </c>
      <c r="P50" s="174">
        <f t="shared" si="20"/>
        <v>0.06549420395</v>
      </c>
      <c r="Q50" s="174">
        <f t="shared" si="20"/>
        <v>0.06245706071</v>
      </c>
      <c r="R50" s="174">
        <f t="shared" si="20"/>
        <v>0.03047090441</v>
      </c>
    </row>
    <row r="51">
      <c r="A51" s="1"/>
      <c r="H51" s="87"/>
      <c r="I51" s="89"/>
    </row>
    <row r="52">
      <c r="A52" s="1" t="s">
        <v>509</v>
      </c>
      <c r="H52" s="87"/>
      <c r="I52" s="89"/>
    </row>
    <row r="53">
      <c r="A53" s="2" t="s">
        <v>513</v>
      </c>
      <c r="B53" s="2"/>
      <c r="C53" s="2"/>
      <c r="D53" s="154">
        <v>1.0</v>
      </c>
      <c r="E53" s="42">
        <f t="shared" ref="E53:R53" si="21">E27*E24/$D$4</f>
        <v>1.869158879</v>
      </c>
      <c r="F53" s="42">
        <f t="shared" si="21"/>
        <v>3.738317757</v>
      </c>
      <c r="G53" s="42">
        <f t="shared" si="21"/>
        <v>5.607476636</v>
      </c>
      <c r="H53" s="42">
        <f t="shared" si="21"/>
        <v>7.476635514</v>
      </c>
      <c r="I53" s="186">
        <f t="shared" si="21"/>
        <v>9.345794393</v>
      </c>
      <c r="J53" s="42">
        <f t="shared" si="21"/>
        <v>11.21495327</v>
      </c>
      <c r="K53" s="42">
        <f t="shared" si="21"/>
        <v>74.76635514</v>
      </c>
      <c r="L53" s="42">
        <f t="shared" si="21"/>
        <v>140.1869159</v>
      </c>
      <c r="M53" s="42">
        <f t="shared" si="21"/>
        <v>467.2897196</v>
      </c>
      <c r="N53" s="42">
        <f t="shared" si="21"/>
        <v>747.6635514</v>
      </c>
      <c r="O53" s="42">
        <f t="shared" si="21"/>
        <v>2336.448598</v>
      </c>
      <c r="P53" s="42">
        <f t="shared" si="21"/>
        <v>2336.448598</v>
      </c>
      <c r="Q53" s="42">
        <f t="shared" si="21"/>
        <v>2336.448598</v>
      </c>
      <c r="R53" s="42">
        <f t="shared" si="21"/>
        <v>4672.897196</v>
      </c>
    </row>
    <row r="54">
      <c r="A54" s="2" t="s">
        <v>530</v>
      </c>
      <c r="B54" s="2"/>
      <c r="C54" s="2" t="s">
        <v>26</v>
      </c>
      <c r="D54" s="42">
        <f t="shared" ref="D54:R54" si="22">D28*$D$8</f>
        <v>0</v>
      </c>
      <c r="E54" s="42">
        <f t="shared" si="22"/>
        <v>467.2897196</v>
      </c>
      <c r="F54" s="42">
        <f t="shared" si="22"/>
        <v>934.5794393</v>
      </c>
      <c r="G54" s="42">
        <f t="shared" si="22"/>
        <v>1401.869159</v>
      </c>
      <c r="H54" s="42">
        <f t="shared" si="22"/>
        <v>1869.158879</v>
      </c>
      <c r="I54" s="186">
        <f t="shared" si="22"/>
        <v>2336.448598</v>
      </c>
      <c r="J54" s="42">
        <f t="shared" si="22"/>
        <v>2803.738318</v>
      </c>
      <c r="K54" s="42">
        <f t="shared" si="22"/>
        <v>18691.58879</v>
      </c>
      <c r="L54" s="42">
        <f t="shared" si="22"/>
        <v>35046.72897</v>
      </c>
      <c r="M54" s="42">
        <f t="shared" si="22"/>
        <v>116822.4299</v>
      </c>
      <c r="N54" s="42">
        <f t="shared" si="22"/>
        <v>186915.8879</v>
      </c>
      <c r="O54" s="42">
        <f t="shared" si="22"/>
        <v>584112.1495</v>
      </c>
      <c r="P54" s="42">
        <f t="shared" si="22"/>
        <v>584112.1495</v>
      </c>
      <c r="Q54" s="42">
        <f t="shared" si="22"/>
        <v>584112.1495</v>
      </c>
      <c r="R54" s="42">
        <f t="shared" si="22"/>
        <v>1168224.299</v>
      </c>
    </row>
    <row r="55">
      <c r="A55" s="2"/>
      <c r="D55" s="42">
        <f>D54</f>
        <v>0</v>
      </c>
      <c r="E55" s="42">
        <f t="shared" ref="E55:R55" si="23">E54+D55</f>
        <v>467.2897196</v>
      </c>
      <c r="F55" s="42">
        <f t="shared" si="23"/>
        <v>1401.869159</v>
      </c>
      <c r="G55" s="42">
        <f t="shared" si="23"/>
        <v>2803.738318</v>
      </c>
      <c r="H55" s="191">
        <f t="shared" si="23"/>
        <v>4672.897196</v>
      </c>
      <c r="I55" s="186">
        <f t="shared" si="23"/>
        <v>7009.345794</v>
      </c>
      <c r="J55" s="42">
        <f t="shared" si="23"/>
        <v>9813.084112</v>
      </c>
      <c r="K55" s="42">
        <f t="shared" si="23"/>
        <v>28504.6729</v>
      </c>
      <c r="L55" s="42">
        <f t="shared" si="23"/>
        <v>63551.40187</v>
      </c>
      <c r="M55" s="42">
        <f t="shared" si="23"/>
        <v>180373.8318</v>
      </c>
      <c r="N55" s="42">
        <f t="shared" si="23"/>
        <v>367289.7196</v>
      </c>
      <c r="O55" s="42">
        <f t="shared" si="23"/>
        <v>951401.8692</v>
      </c>
      <c r="P55" s="42">
        <f t="shared" si="23"/>
        <v>1535514.019</v>
      </c>
      <c r="Q55" s="42">
        <f t="shared" si="23"/>
        <v>2119626.168</v>
      </c>
      <c r="R55" s="42">
        <f t="shared" si="23"/>
        <v>3287850.467</v>
      </c>
    </row>
    <row r="56">
      <c r="A56" s="2" t="s">
        <v>543</v>
      </c>
      <c r="B56" s="2"/>
      <c r="C56" s="2" t="s">
        <v>26</v>
      </c>
      <c r="D56" s="13">
        <f>D54/4*2+(D31*365*D24*$D$12/1000)</f>
        <v>0</v>
      </c>
      <c r="E56" s="42">
        <f t="shared" ref="E56:R56" si="24">E54/4*2+(E31*365*E24*$D$12/1000)/$D$4</f>
        <v>281.4656302</v>
      </c>
      <c r="F56" s="42">
        <f t="shared" si="24"/>
        <v>754.2143419</v>
      </c>
      <c r="G56" s="42">
        <f t="shared" si="24"/>
        <v>1346.514979</v>
      </c>
      <c r="H56" s="42">
        <f t="shared" si="24"/>
        <v>2058.367543</v>
      </c>
      <c r="I56" s="186">
        <f t="shared" si="24"/>
        <v>2893.143397</v>
      </c>
      <c r="J56" s="42">
        <f t="shared" si="24"/>
        <v>4566.586125</v>
      </c>
      <c r="K56" s="42">
        <f t="shared" si="24"/>
        <v>73051.46059</v>
      </c>
      <c r="L56" s="42">
        <f t="shared" si="24"/>
        <v>277438.9211</v>
      </c>
      <c r="M56" s="42">
        <f t="shared" si="24"/>
        <v>1781559.054</v>
      </c>
      <c r="N56" s="42">
        <f t="shared" si="24"/>
        <v>4418741.305</v>
      </c>
      <c r="O56" s="42">
        <f t="shared" si="24"/>
        <v>36336311.97</v>
      </c>
      <c r="P56" s="42">
        <f t="shared" si="24"/>
        <v>63946282.39</v>
      </c>
      <c r="Q56" s="42">
        <f t="shared" si="24"/>
        <v>93627000.6</v>
      </c>
      <c r="R56" s="42">
        <f t="shared" si="24"/>
        <v>300880847.8</v>
      </c>
    </row>
    <row r="57">
      <c r="A57" s="2"/>
      <c r="B57" s="2"/>
      <c r="C57" s="2" t="s">
        <v>548</v>
      </c>
      <c r="D57" s="13">
        <f>D56</f>
        <v>0</v>
      </c>
      <c r="E57" s="42">
        <f t="shared" ref="E57:R57" si="25">E56/E24</f>
        <v>140.7328151</v>
      </c>
      <c r="F57" s="42">
        <f t="shared" si="25"/>
        <v>377.1071709</v>
      </c>
      <c r="G57" s="42">
        <f t="shared" si="25"/>
        <v>673.2574897</v>
      </c>
      <c r="H57" s="191">
        <f t="shared" si="25"/>
        <v>1029.183772</v>
      </c>
      <c r="I57" s="186">
        <f t="shared" si="25"/>
        <v>1446.571698</v>
      </c>
      <c r="J57" s="42">
        <f t="shared" si="25"/>
        <v>2283.293063</v>
      </c>
      <c r="K57" s="42">
        <f t="shared" si="25"/>
        <v>9131.432574</v>
      </c>
      <c r="L57" s="42">
        <f t="shared" si="25"/>
        <v>27743.89211</v>
      </c>
      <c r="M57" s="42">
        <f t="shared" si="25"/>
        <v>89077.95271</v>
      </c>
      <c r="N57" s="42">
        <f t="shared" si="25"/>
        <v>220937.0652</v>
      </c>
      <c r="O57" s="42">
        <f t="shared" si="25"/>
        <v>726726.2393</v>
      </c>
      <c r="P57" s="42">
        <f t="shared" si="25"/>
        <v>1278925.648</v>
      </c>
      <c r="Q57" s="42">
        <f t="shared" si="25"/>
        <v>1872540.012</v>
      </c>
      <c r="R57" s="42">
        <f t="shared" si="25"/>
        <v>3008808.478</v>
      </c>
    </row>
    <row r="58">
      <c r="A58" s="2" t="s">
        <v>287</v>
      </c>
      <c r="B58" s="2"/>
      <c r="C58" s="2" t="s">
        <v>26</v>
      </c>
      <c r="D58" s="42">
        <f>$D$13*D31*365*D24/1000</f>
        <v>0</v>
      </c>
      <c r="E58" s="42">
        <f t="shared" ref="E58:R58" si="26">$D$13*E31*365*E24/1000/$D$4</f>
        <v>28.69246222</v>
      </c>
      <c r="F58" s="42">
        <f t="shared" si="26"/>
        <v>172.1547733</v>
      </c>
      <c r="G58" s="42">
        <f t="shared" si="26"/>
        <v>387.34824</v>
      </c>
      <c r="H58" s="42">
        <f t="shared" si="26"/>
        <v>674.2728623</v>
      </c>
      <c r="I58" s="186">
        <f t="shared" si="26"/>
        <v>1034.951459</v>
      </c>
      <c r="J58" s="42">
        <f t="shared" si="26"/>
        <v>1898.83018</v>
      </c>
      <c r="K58" s="42">
        <f t="shared" si="26"/>
        <v>38223.39972</v>
      </c>
      <c r="L58" s="42">
        <f t="shared" si="26"/>
        <v>155949.334</v>
      </c>
      <c r="M58" s="42">
        <f t="shared" si="26"/>
        <v>1033888.704</v>
      </c>
      <c r="N58" s="42">
        <f t="shared" si="26"/>
        <v>2595170.017</v>
      </c>
      <c r="O58" s="42">
        <f t="shared" si="26"/>
        <v>21626553.53</v>
      </c>
      <c r="P58" s="42">
        <f t="shared" si="26"/>
        <v>38192535.79</v>
      </c>
      <c r="Q58" s="42">
        <f t="shared" si="26"/>
        <v>56000966.72</v>
      </c>
      <c r="R58" s="42">
        <f t="shared" si="26"/>
        <v>180178041.4</v>
      </c>
    </row>
    <row r="59">
      <c r="B59" s="2"/>
      <c r="C59" s="2" t="s">
        <v>548</v>
      </c>
      <c r="D59" s="42">
        <f>D58</f>
        <v>0</v>
      </c>
      <c r="E59" s="42">
        <f t="shared" ref="E59:R59" si="27">E58/E24</f>
        <v>14.34623111</v>
      </c>
      <c r="F59" s="42">
        <f t="shared" si="27"/>
        <v>86.07738667</v>
      </c>
      <c r="G59" s="42">
        <f t="shared" si="27"/>
        <v>193.67412</v>
      </c>
      <c r="H59" s="191">
        <f t="shared" si="27"/>
        <v>337.1364311</v>
      </c>
      <c r="I59" s="186">
        <f t="shared" si="27"/>
        <v>517.4757293</v>
      </c>
      <c r="J59" s="42">
        <f t="shared" si="27"/>
        <v>949.4150899</v>
      </c>
      <c r="K59" s="42">
        <f t="shared" si="27"/>
        <v>4777.924965</v>
      </c>
      <c r="L59" s="42">
        <f t="shared" si="27"/>
        <v>15594.9334</v>
      </c>
      <c r="M59" s="42">
        <f t="shared" si="27"/>
        <v>51694.43518</v>
      </c>
      <c r="N59" s="42">
        <f t="shared" si="27"/>
        <v>129758.5008</v>
      </c>
      <c r="O59" s="42">
        <f t="shared" si="27"/>
        <v>432531.0707</v>
      </c>
      <c r="P59" s="42">
        <f t="shared" si="27"/>
        <v>763850.7158</v>
      </c>
      <c r="Q59" s="42">
        <f t="shared" si="27"/>
        <v>1120019.334</v>
      </c>
      <c r="R59" s="42">
        <f t="shared" si="27"/>
        <v>1801780.414</v>
      </c>
    </row>
    <row r="60">
      <c r="H60" s="87"/>
      <c r="I60" s="89"/>
    </row>
    <row r="61">
      <c r="A61" s="1" t="s">
        <v>544</v>
      </c>
      <c r="H61" s="87"/>
      <c r="I61" s="89"/>
    </row>
    <row r="62">
      <c r="A62" s="2" t="s">
        <v>555</v>
      </c>
      <c r="D62" s="42">
        <f t="shared" ref="D62:R62" si="28">D31*$D$14</f>
        <v>0</v>
      </c>
      <c r="E62" s="42">
        <f t="shared" si="28"/>
        <v>1.401869159</v>
      </c>
      <c r="F62" s="42">
        <f t="shared" si="28"/>
        <v>8.411214953</v>
      </c>
      <c r="G62" s="42">
        <f t="shared" si="28"/>
        <v>18.92523364</v>
      </c>
      <c r="H62" s="191">
        <f t="shared" si="28"/>
        <v>32.94392523</v>
      </c>
      <c r="I62" s="186">
        <f t="shared" si="28"/>
        <v>50.5661215</v>
      </c>
      <c r="J62" s="42">
        <f t="shared" si="28"/>
        <v>92.77389463</v>
      </c>
      <c r="K62" s="42">
        <f t="shared" si="28"/>
        <v>466.883992</v>
      </c>
      <c r="L62" s="42">
        <f t="shared" si="28"/>
        <v>1523.888469</v>
      </c>
      <c r="M62" s="42">
        <f t="shared" si="28"/>
        <v>5051.419693</v>
      </c>
      <c r="N62" s="42">
        <f t="shared" si="28"/>
        <v>12679.5978</v>
      </c>
      <c r="O62" s="42">
        <f t="shared" si="28"/>
        <v>42265.59321</v>
      </c>
      <c r="P62" s="42">
        <f t="shared" si="28"/>
        <v>74641.12018</v>
      </c>
      <c r="Q62" s="42">
        <f t="shared" si="28"/>
        <v>109444.8117</v>
      </c>
      <c r="R62" s="42">
        <f t="shared" si="28"/>
        <v>176064.3875</v>
      </c>
    </row>
    <row r="63">
      <c r="A63" s="2" t="s">
        <v>564</v>
      </c>
      <c r="B63" s="2"/>
      <c r="C63" s="2" t="s">
        <v>213</v>
      </c>
      <c r="D63" s="42">
        <f t="shared" ref="D63:R63" si="29">D31*$D$15/1000</f>
        <v>0</v>
      </c>
      <c r="E63" s="42">
        <f t="shared" si="29"/>
        <v>0.2242990654</v>
      </c>
      <c r="F63" s="42">
        <f t="shared" si="29"/>
        <v>1.345794393</v>
      </c>
      <c r="G63" s="42">
        <f t="shared" si="29"/>
        <v>3.028037383</v>
      </c>
      <c r="H63" s="191">
        <f t="shared" si="29"/>
        <v>5.271028037</v>
      </c>
      <c r="I63" s="186">
        <f t="shared" si="29"/>
        <v>8.090579439</v>
      </c>
      <c r="J63" s="42">
        <f t="shared" si="29"/>
        <v>14.84382314</v>
      </c>
      <c r="K63" s="42">
        <f t="shared" si="29"/>
        <v>74.70143872</v>
      </c>
      <c r="L63" s="42">
        <f t="shared" si="29"/>
        <v>243.8221551</v>
      </c>
      <c r="M63" s="42">
        <f t="shared" si="29"/>
        <v>808.2271509</v>
      </c>
      <c r="N63" s="42">
        <f t="shared" si="29"/>
        <v>2028.735648</v>
      </c>
      <c r="O63" s="42">
        <f t="shared" si="29"/>
        <v>6762.494913</v>
      </c>
      <c r="P63" s="42">
        <f t="shared" si="29"/>
        <v>11942.57923</v>
      </c>
      <c r="Q63" s="42">
        <f t="shared" si="29"/>
        <v>17511.16987</v>
      </c>
      <c r="R63" s="42">
        <f t="shared" si="29"/>
        <v>28170.302</v>
      </c>
    </row>
    <row r="64">
      <c r="A64" s="2" t="s">
        <v>568</v>
      </c>
      <c r="B64" s="2"/>
      <c r="C64" s="2" t="s">
        <v>569</v>
      </c>
      <c r="D64" s="42">
        <f t="shared" ref="D64:R64" si="30">D31*$D$16</f>
        <v>0</v>
      </c>
      <c r="E64" s="42">
        <f t="shared" si="30"/>
        <v>1121.495327</v>
      </c>
      <c r="F64" s="42">
        <f t="shared" si="30"/>
        <v>6728.971963</v>
      </c>
      <c r="G64" s="42">
        <f t="shared" si="30"/>
        <v>15140.18692</v>
      </c>
      <c r="H64" s="191">
        <f t="shared" si="30"/>
        <v>26355.14019</v>
      </c>
      <c r="I64" s="186">
        <f t="shared" si="30"/>
        <v>40452.8972</v>
      </c>
      <c r="J64" s="42">
        <f t="shared" si="30"/>
        <v>74219.1157</v>
      </c>
      <c r="K64" s="42">
        <f t="shared" si="30"/>
        <v>373507.1936</v>
      </c>
      <c r="L64" s="42">
        <f t="shared" si="30"/>
        <v>1219110.775</v>
      </c>
      <c r="M64" s="42">
        <f t="shared" si="30"/>
        <v>4041135.755</v>
      </c>
      <c r="N64" s="42">
        <f t="shared" si="30"/>
        <v>10143678.24</v>
      </c>
      <c r="O64" s="42">
        <f t="shared" si="30"/>
        <v>33812474.57</v>
      </c>
      <c r="P64" s="42">
        <f t="shared" si="30"/>
        <v>59712896.14</v>
      </c>
      <c r="Q64" s="42">
        <f t="shared" si="30"/>
        <v>87555849.33</v>
      </c>
      <c r="R64" s="42">
        <f t="shared" si="30"/>
        <v>140851510</v>
      </c>
    </row>
    <row r="65">
      <c r="H65" s="87"/>
      <c r="I65" s="89"/>
    </row>
    <row r="66">
      <c r="A66" s="2" t="s">
        <v>575</v>
      </c>
      <c r="D66" s="154">
        <f t="shared" ref="D66:R66" si="31">D43+D27</f>
        <v>2</v>
      </c>
      <c r="E66" s="154">
        <f t="shared" si="31"/>
        <v>4</v>
      </c>
      <c r="F66" s="154">
        <f t="shared" si="31"/>
        <v>18.95327103</v>
      </c>
      <c r="G66" s="154">
        <f t="shared" si="31"/>
        <v>28.42990654</v>
      </c>
      <c r="H66" s="154">
        <f t="shared" si="31"/>
        <v>37.90654206</v>
      </c>
      <c r="I66" s="156">
        <f t="shared" si="31"/>
        <v>47.38317757</v>
      </c>
      <c r="J66" s="154">
        <f t="shared" si="31"/>
        <v>45.64485981</v>
      </c>
      <c r="K66" s="154">
        <f t="shared" si="31"/>
        <v>244.2990654</v>
      </c>
      <c r="L66" s="154">
        <f t="shared" si="31"/>
        <v>310.3738318</v>
      </c>
      <c r="M66" s="154">
        <f t="shared" si="31"/>
        <v>517.2897196</v>
      </c>
      <c r="N66" s="154">
        <f t="shared" si="31"/>
        <v>827.6635514</v>
      </c>
      <c r="O66" s="154">
        <f t="shared" si="31"/>
        <v>2436.448598</v>
      </c>
      <c r="P66" s="154">
        <f t="shared" si="31"/>
        <v>2436.448598</v>
      </c>
      <c r="Q66" s="154">
        <f t="shared" si="31"/>
        <v>2436.448598</v>
      </c>
      <c r="R66" s="154">
        <f t="shared" si="31"/>
        <v>4772.897196</v>
      </c>
    </row>
    <row r="67">
      <c r="A67" s="2" t="s">
        <v>586</v>
      </c>
      <c r="D67" s="154">
        <f>D66</f>
        <v>2</v>
      </c>
      <c r="E67" s="154">
        <f t="shared" ref="E67:R67" si="32">E66+D67</f>
        <v>6</v>
      </c>
      <c r="F67" s="154">
        <f t="shared" si="32"/>
        <v>24.95327103</v>
      </c>
      <c r="G67" s="154">
        <f t="shared" si="32"/>
        <v>53.38317757</v>
      </c>
      <c r="H67" s="154">
        <f t="shared" si="32"/>
        <v>91.28971963</v>
      </c>
      <c r="I67" s="156">
        <f t="shared" si="32"/>
        <v>138.6728972</v>
      </c>
      <c r="J67" s="154">
        <f t="shared" si="32"/>
        <v>184.317757</v>
      </c>
      <c r="K67" s="154">
        <f t="shared" si="32"/>
        <v>428.6168224</v>
      </c>
      <c r="L67" s="154">
        <f t="shared" si="32"/>
        <v>738.9906542</v>
      </c>
      <c r="M67" s="154">
        <f t="shared" si="32"/>
        <v>1256.280374</v>
      </c>
      <c r="N67" s="154">
        <f t="shared" si="32"/>
        <v>2083.943925</v>
      </c>
      <c r="O67" s="154">
        <f t="shared" si="32"/>
        <v>4520.392523</v>
      </c>
      <c r="P67" s="154">
        <f t="shared" si="32"/>
        <v>6956.841121</v>
      </c>
      <c r="Q67" s="154">
        <f t="shared" si="32"/>
        <v>9393.28972</v>
      </c>
      <c r="R67" s="154">
        <f t="shared" si="32"/>
        <v>14166.18692</v>
      </c>
    </row>
    <row r="68">
      <c r="A68" s="2" t="s">
        <v>597</v>
      </c>
      <c r="D68" s="2">
        <v>2.0</v>
      </c>
      <c r="E68" s="2">
        <v>6.0</v>
      </c>
      <c r="F68">
        <f t="shared" ref="F68:W68" si="33">F27*$D$4</f>
        <v>8.56</v>
      </c>
      <c r="G68">
        <f t="shared" si="33"/>
        <v>12.84</v>
      </c>
      <c r="H68" s="87">
        <f t="shared" si="33"/>
        <v>17.12</v>
      </c>
      <c r="I68" s="89">
        <f t="shared" si="33"/>
        <v>21.4</v>
      </c>
      <c r="J68">
        <f t="shared" si="33"/>
        <v>25.68</v>
      </c>
      <c r="K68">
        <f t="shared" si="33"/>
        <v>42.8</v>
      </c>
      <c r="L68">
        <f t="shared" si="33"/>
        <v>64.2</v>
      </c>
      <c r="M68">
        <f t="shared" si="33"/>
        <v>107</v>
      </c>
      <c r="N68">
        <f t="shared" si="33"/>
        <v>171.2</v>
      </c>
      <c r="O68">
        <f t="shared" si="33"/>
        <v>214</v>
      </c>
      <c r="P68">
        <f t="shared" si="33"/>
        <v>214</v>
      </c>
      <c r="Q68">
        <f t="shared" si="33"/>
        <v>214</v>
      </c>
      <c r="R68">
        <f t="shared" si="33"/>
        <v>214</v>
      </c>
      <c r="S68">
        <f t="shared" si="33"/>
        <v>0</v>
      </c>
      <c r="T68">
        <f t="shared" si="33"/>
        <v>0</v>
      </c>
      <c r="U68">
        <f t="shared" si="33"/>
        <v>0</v>
      </c>
      <c r="V68">
        <f t="shared" si="33"/>
        <v>0</v>
      </c>
      <c r="W68">
        <f t="shared" si="33"/>
        <v>0</v>
      </c>
    </row>
    <row r="69">
      <c r="A69" s="1" t="s">
        <v>606</v>
      </c>
      <c r="H69" s="87"/>
      <c r="I69" s="89"/>
    </row>
    <row r="70">
      <c r="A70" s="208" t="s">
        <v>608</v>
      </c>
      <c r="B70" s="208"/>
      <c r="C70" s="208" t="s">
        <v>99</v>
      </c>
      <c r="D70" s="42">
        <f t="shared" ref="D70:R70" si="34">$D$18*D31+(D54/$D$8)*$D$11*2</f>
        <v>0</v>
      </c>
      <c r="E70" s="42">
        <f t="shared" si="34"/>
        <v>1032.843044</v>
      </c>
      <c r="F70" s="42">
        <f t="shared" si="34"/>
        <v>2738.583285</v>
      </c>
      <c r="G70" s="42">
        <f t="shared" si="34"/>
        <v>4864.884273</v>
      </c>
      <c r="H70" s="42">
        <f t="shared" si="34"/>
        <v>7411.746009</v>
      </c>
      <c r="I70" s="186">
        <f t="shared" si="34"/>
        <v>10391.02831</v>
      </c>
      <c r="J70" s="42">
        <f t="shared" si="34"/>
        <v>16320.57983</v>
      </c>
      <c r="K70" s="42">
        <f t="shared" si="34"/>
        <v>90610.82885</v>
      </c>
      <c r="L70" s="42">
        <f t="shared" si="34"/>
        <v>247713.0222</v>
      </c>
      <c r="M70" s="42">
        <f t="shared" si="34"/>
        <v>822325.0495</v>
      </c>
      <c r="N70" s="42">
        <f t="shared" si="34"/>
        <v>1867399.234</v>
      </c>
      <c r="O70" s="42">
        <f t="shared" si="34"/>
        <v>6152644.617</v>
      </c>
      <c r="P70" s="42">
        <f t="shared" si="34"/>
        <v>10037707.85</v>
      </c>
      <c r="Q70" s="42">
        <f t="shared" si="34"/>
        <v>14214150.83</v>
      </c>
      <c r="R70" s="42">
        <f t="shared" si="34"/>
        <v>23289273.36</v>
      </c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</row>
    <row r="71">
      <c r="A71" s="2" t="s">
        <v>606</v>
      </c>
      <c r="B71" s="2"/>
      <c r="C71" s="2" t="s">
        <v>178</v>
      </c>
      <c r="D71" s="13"/>
      <c r="E71" s="42">
        <f t="shared" ref="E71:R71" si="35">E70*E24*365*24*3600/1000000</f>
        <v>65143.47649</v>
      </c>
      <c r="F71" s="42">
        <f t="shared" si="35"/>
        <v>172727.9249</v>
      </c>
      <c r="G71" s="42">
        <f t="shared" si="35"/>
        <v>306837.9809</v>
      </c>
      <c r="H71" s="42">
        <f t="shared" si="35"/>
        <v>467473.6443</v>
      </c>
      <c r="I71" s="42">
        <f t="shared" si="35"/>
        <v>655382.9373</v>
      </c>
      <c r="J71" s="42">
        <f t="shared" si="35"/>
        <v>1029371.611</v>
      </c>
      <c r="K71" s="42">
        <f t="shared" si="35"/>
        <v>22860024.79</v>
      </c>
      <c r="L71" s="42">
        <f t="shared" si="35"/>
        <v>78118778.67</v>
      </c>
      <c r="M71" s="42">
        <f t="shared" si="35"/>
        <v>518656855.2</v>
      </c>
      <c r="N71" s="42">
        <f t="shared" si="35"/>
        <v>1177806045</v>
      </c>
      <c r="O71" s="42">
        <f t="shared" si="35"/>
        <v>9701490031</v>
      </c>
      <c r="P71" s="42">
        <f t="shared" si="35"/>
        <v>15827457742</v>
      </c>
      <c r="Q71" s="42">
        <f t="shared" si="35"/>
        <v>22412873031</v>
      </c>
      <c r="R71" s="42">
        <f t="shared" si="35"/>
        <v>73445052475</v>
      </c>
    </row>
    <row r="72">
      <c r="A72" s="2" t="s">
        <v>622</v>
      </c>
      <c r="B72" s="29">
        <f>Colony!C241</f>
        <v>236.3232877</v>
      </c>
      <c r="C72" s="2" t="s">
        <v>460</v>
      </c>
      <c r="D72" s="13"/>
      <c r="E72" s="219">
        <f t="shared" ref="E72:R72" si="36">$B$72*E71/1000000</f>
        <v>15.39492053</v>
      </c>
      <c r="F72" s="219">
        <f t="shared" si="36"/>
        <v>40.81963109</v>
      </c>
      <c r="G72" s="219">
        <f t="shared" si="36"/>
        <v>72.51296042</v>
      </c>
      <c r="H72" s="219">
        <f t="shared" si="36"/>
        <v>110.4749085</v>
      </c>
      <c r="I72" s="219">
        <f t="shared" si="36"/>
        <v>154.8822504</v>
      </c>
      <c r="J72" s="219">
        <f t="shared" si="36"/>
        <v>243.2644833</v>
      </c>
      <c r="K72" s="219">
        <f t="shared" si="36"/>
        <v>5402.356214</v>
      </c>
      <c r="L72" s="219">
        <f t="shared" si="36"/>
        <v>18461.28661</v>
      </c>
      <c r="M72" s="219">
        <f t="shared" si="36"/>
        <v>122570.6932</v>
      </c>
      <c r="N72" s="219">
        <f t="shared" si="36"/>
        <v>278342.9967</v>
      </c>
      <c r="O72" s="219">
        <f t="shared" si="36"/>
        <v>2292688.02</v>
      </c>
      <c r="P72" s="219">
        <f t="shared" si="36"/>
        <v>3740396.849</v>
      </c>
      <c r="Q72" s="219">
        <f t="shared" si="36"/>
        <v>5296683.841</v>
      </c>
      <c r="R72" s="219">
        <f t="shared" si="36"/>
        <v>17356776.26</v>
      </c>
    </row>
    <row r="73">
      <c r="A73" s="2" t="s">
        <v>642</v>
      </c>
      <c r="B73" s="2"/>
      <c r="C73" s="2" t="s">
        <v>4</v>
      </c>
      <c r="D73" s="13">
        <f t="shared" ref="D73:R73" si="37">D70*1000/$D$19</f>
        <v>0</v>
      </c>
      <c r="E73" s="42">
        <f t="shared" si="37"/>
        <v>86951.36081</v>
      </c>
      <c r="F73" s="42">
        <f t="shared" si="37"/>
        <v>230551.5292</v>
      </c>
      <c r="G73" s="42">
        <f t="shared" si="37"/>
        <v>409557.2024</v>
      </c>
      <c r="H73" s="191">
        <f t="shared" si="37"/>
        <v>623968.3803</v>
      </c>
      <c r="I73" s="186">
        <f t="shared" si="37"/>
        <v>874783.4982</v>
      </c>
      <c r="J73" s="42">
        <f t="shared" si="37"/>
        <v>1373971.227</v>
      </c>
      <c r="K73" s="42">
        <f t="shared" si="37"/>
        <v>7628201.513</v>
      </c>
      <c r="L73" s="42">
        <f t="shared" si="37"/>
        <v>20854073.12</v>
      </c>
      <c r="M73" s="42">
        <f t="shared" si="37"/>
        <v>69228603.98</v>
      </c>
      <c r="N73" s="42">
        <f t="shared" si="37"/>
        <v>157209660.7</v>
      </c>
      <c r="O73" s="42">
        <f t="shared" si="37"/>
        <v>517969138.6</v>
      </c>
      <c r="P73" s="42">
        <f t="shared" si="37"/>
        <v>845038713.3</v>
      </c>
      <c r="Q73" s="42">
        <f t="shared" si="37"/>
        <v>1196638506</v>
      </c>
      <c r="R73" s="42">
        <f t="shared" si="37"/>
        <v>1960640605</v>
      </c>
    </row>
    <row r="74">
      <c r="B74" s="2"/>
      <c r="C74" s="2" t="s">
        <v>649</v>
      </c>
      <c r="D74" s="27">
        <f t="shared" ref="D74:S74" si="38">D73/1000000</f>
        <v>0</v>
      </c>
      <c r="E74" s="27">
        <f t="shared" si="38"/>
        <v>0.08695136081</v>
      </c>
      <c r="F74" s="27">
        <f t="shared" si="38"/>
        <v>0.2305515292</v>
      </c>
      <c r="G74" s="219">
        <f t="shared" si="38"/>
        <v>0.4095572024</v>
      </c>
      <c r="H74" s="221">
        <f t="shared" si="38"/>
        <v>0.6239683803</v>
      </c>
      <c r="I74" s="223">
        <f t="shared" si="38"/>
        <v>0.8747834982</v>
      </c>
      <c r="J74" s="219">
        <f t="shared" si="38"/>
        <v>1.373971227</v>
      </c>
      <c r="K74" s="42">
        <f t="shared" si="38"/>
        <v>7.628201513</v>
      </c>
      <c r="L74" s="42">
        <f t="shared" si="38"/>
        <v>20.85407312</v>
      </c>
      <c r="M74" s="42">
        <f t="shared" si="38"/>
        <v>69.22860398</v>
      </c>
      <c r="N74" s="42">
        <f t="shared" si="38"/>
        <v>157.2096607</v>
      </c>
      <c r="O74" s="42">
        <f t="shared" si="38"/>
        <v>517.9691386</v>
      </c>
      <c r="P74" s="42">
        <f t="shared" si="38"/>
        <v>845.0387133</v>
      </c>
      <c r="Q74" s="42">
        <f t="shared" si="38"/>
        <v>1196.638506</v>
      </c>
      <c r="R74" s="42">
        <f t="shared" si="38"/>
        <v>1960.640605</v>
      </c>
      <c r="S74" s="216">
        <f t="shared" si="38"/>
        <v>0</v>
      </c>
    </row>
    <row r="75">
      <c r="A75" s="2" t="s">
        <v>653</v>
      </c>
      <c r="B75" s="2"/>
      <c r="C75" s="2" t="s">
        <v>26</v>
      </c>
      <c r="D75" s="13">
        <f t="shared" ref="D75:R75" si="39">D73*$D$20/1000</f>
        <v>0</v>
      </c>
      <c r="E75" s="42">
        <f t="shared" si="39"/>
        <v>260.2448733</v>
      </c>
      <c r="F75" s="42">
        <f t="shared" si="39"/>
        <v>690.0392696</v>
      </c>
      <c r="G75" s="42">
        <f t="shared" si="39"/>
        <v>1225.802118</v>
      </c>
      <c r="H75" s="224">
        <f t="shared" si="39"/>
        <v>1867.533418</v>
      </c>
      <c r="I75" s="225">
        <f t="shared" si="39"/>
        <v>2618.22148</v>
      </c>
      <c r="J75" s="42">
        <f t="shared" si="39"/>
        <v>4112.287198</v>
      </c>
      <c r="K75" s="42">
        <f t="shared" si="39"/>
        <v>22831.15891</v>
      </c>
      <c r="L75" s="42">
        <f t="shared" si="39"/>
        <v>62416.10903</v>
      </c>
      <c r="M75" s="42">
        <f t="shared" si="39"/>
        <v>207200.7741</v>
      </c>
      <c r="N75" s="42">
        <f t="shared" si="39"/>
        <v>470527.5208</v>
      </c>
      <c r="O75" s="42">
        <f t="shared" si="39"/>
        <v>1550278.358</v>
      </c>
      <c r="P75" s="42">
        <f t="shared" si="39"/>
        <v>2529195.527</v>
      </c>
      <c r="Q75" s="42">
        <f t="shared" si="39"/>
        <v>3581531.485</v>
      </c>
      <c r="R75" s="42">
        <f t="shared" si="39"/>
        <v>5868184.937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28.0"/>
    <col customWidth="1" min="2" max="2" width="15.14"/>
    <col customWidth="1" min="3" max="3" width="9.86"/>
    <col customWidth="1" min="4" max="4" width="10.43"/>
    <col customWidth="1" min="5" max="5" width="9.57"/>
    <col customWidth="1" min="6" max="10" width="9.86"/>
  </cols>
  <sheetData>
    <row r="1">
      <c r="A1" s="48" t="s">
        <v>252</v>
      </c>
      <c r="B1" s="49"/>
      <c r="C1" s="49"/>
      <c r="D1" s="51" t="s">
        <v>271</v>
      </c>
      <c r="F1" s="53"/>
      <c r="G1" s="53"/>
      <c r="H1" s="53"/>
      <c r="I1" s="53"/>
      <c r="J1" s="53"/>
    </row>
    <row r="2" ht="12.75" customHeight="1">
      <c r="A2" s="54" t="s">
        <v>274</v>
      </c>
      <c r="B2" s="55"/>
      <c r="C2" s="55"/>
      <c r="D2" s="56"/>
      <c r="F2" s="58"/>
      <c r="G2" s="58"/>
      <c r="H2" s="58"/>
      <c r="I2" s="58"/>
      <c r="J2" s="58"/>
    </row>
    <row r="3" ht="12.75" customHeight="1">
      <c r="A3" s="59" t="s">
        <v>290</v>
      </c>
      <c r="B3" s="60" t="s">
        <v>293</v>
      </c>
      <c r="C3" s="62" t="s">
        <v>26</v>
      </c>
      <c r="D3" s="64">
        <v>85.0</v>
      </c>
      <c r="F3" s="68"/>
      <c r="G3" s="68"/>
      <c r="H3" s="68"/>
      <c r="I3" s="68"/>
      <c r="J3" s="68"/>
    </row>
    <row r="4" ht="12.75" customHeight="1">
      <c r="A4" s="69" t="s">
        <v>316</v>
      </c>
      <c r="B4" s="60" t="s">
        <v>324</v>
      </c>
      <c r="C4" s="62" t="s">
        <v>26</v>
      </c>
      <c r="D4" s="68">
        <v>50.0</v>
      </c>
      <c r="F4" s="68"/>
      <c r="G4" s="68"/>
      <c r="H4" s="68"/>
      <c r="I4" s="68"/>
      <c r="J4" s="68"/>
    </row>
    <row r="5" ht="12.75" customHeight="1">
      <c r="A5" s="59" t="s">
        <v>326</v>
      </c>
      <c r="B5" s="70" t="s">
        <v>327</v>
      </c>
      <c r="C5" s="72" t="s">
        <v>26</v>
      </c>
      <c r="D5" s="73">
        <v>40.0</v>
      </c>
      <c r="F5" s="68"/>
      <c r="G5" s="68"/>
      <c r="H5" s="68"/>
      <c r="I5" s="68"/>
      <c r="J5" s="68"/>
    </row>
    <row r="6" ht="12.75" customHeight="1">
      <c r="A6" s="59" t="s">
        <v>332</v>
      </c>
      <c r="B6" s="72"/>
      <c r="C6" s="72"/>
      <c r="D6" s="76">
        <f>D5-D7</f>
        <v>31.30434783</v>
      </c>
      <c r="F6" s="77"/>
      <c r="G6" s="77"/>
      <c r="H6" s="77"/>
      <c r="I6" s="77"/>
      <c r="J6" s="77"/>
    </row>
    <row r="7" ht="12.75" customHeight="1">
      <c r="A7" s="59" t="s">
        <v>339</v>
      </c>
      <c r="B7" s="72"/>
      <c r="C7" s="72"/>
      <c r="D7" s="79">
        <f>D5/(D9+1)</f>
        <v>8.695652174</v>
      </c>
      <c r="F7" s="58"/>
      <c r="G7" s="58"/>
      <c r="H7" s="58"/>
      <c r="I7" s="58"/>
      <c r="J7" s="58"/>
    </row>
    <row r="8" ht="12.75" customHeight="1">
      <c r="A8" s="81" t="s">
        <v>349</v>
      </c>
      <c r="B8" s="60" t="s">
        <v>352</v>
      </c>
      <c r="C8" s="62" t="s">
        <v>26</v>
      </c>
      <c r="D8" s="73">
        <v>860.0</v>
      </c>
      <c r="F8" s="82"/>
      <c r="G8" s="82"/>
      <c r="H8" s="82"/>
      <c r="I8" s="82"/>
      <c r="J8" s="82"/>
    </row>
    <row r="9" ht="12.75" customHeight="1">
      <c r="A9" s="81" t="s">
        <v>354</v>
      </c>
      <c r="B9" s="60" t="s">
        <v>27</v>
      </c>
      <c r="C9" s="83"/>
      <c r="D9" s="84">
        <v>3.6</v>
      </c>
      <c r="F9" s="85"/>
      <c r="G9" s="85"/>
      <c r="H9" s="85"/>
      <c r="I9" s="85"/>
      <c r="J9" s="85"/>
    </row>
    <row r="10" ht="12.75" customHeight="1">
      <c r="A10" s="62" t="s">
        <v>358</v>
      </c>
      <c r="B10" s="86" t="s">
        <v>359</v>
      </c>
      <c r="C10" s="62" t="s">
        <v>26</v>
      </c>
      <c r="D10" s="88">
        <f>D8/D9</f>
        <v>238.8888889</v>
      </c>
      <c r="F10" s="90"/>
      <c r="G10" s="90"/>
      <c r="H10" s="90"/>
      <c r="I10" s="90"/>
      <c r="J10" s="90"/>
    </row>
    <row r="11" ht="12.75" customHeight="1">
      <c r="A11" s="59" t="s">
        <v>367</v>
      </c>
      <c r="B11" s="92" t="s">
        <v>368</v>
      </c>
      <c r="C11" s="62"/>
      <c r="D11" s="88">
        <f>D10+D8</f>
        <v>1098.888889</v>
      </c>
      <c r="F11" s="90"/>
      <c r="G11" s="90"/>
      <c r="H11" s="90"/>
      <c r="I11" s="90"/>
      <c r="J11" s="90"/>
    </row>
    <row r="12" ht="12.75" customHeight="1">
      <c r="A12" s="94" t="s">
        <v>370</v>
      </c>
      <c r="B12" s="95" t="s">
        <v>372</v>
      </c>
      <c r="C12" s="97"/>
      <c r="D12" s="99">
        <f>+D11+D5</f>
        <v>1138.888889</v>
      </c>
      <c r="F12" s="90"/>
      <c r="G12" s="90"/>
      <c r="H12" s="90"/>
      <c r="I12" s="90"/>
      <c r="J12" s="90"/>
    </row>
    <row r="13" ht="12.75" customHeight="1">
      <c r="A13" s="54" t="s">
        <v>375</v>
      </c>
      <c r="B13" s="100" t="s">
        <v>376</v>
      </c>
      <c r="C13" s="101" t="s">
        <v>26</v>
      </c>
      <c r="D13" s="103">
        <f>+D12+D4+D3</f>
        <v>1273.888889</v>
      </c>
      <c r="F13" s="105"/>
      <c r="G13" s="105"/>
      <c r="H13" s="105"/>
      <c r="I13" s="105"/>
      <c r="J13" s="105"/>
    </row>
    <row r="14" ht="12.75" customHeight="1">
      <c r="A14" s="62" t="s">
        <v>380</v>
      </c>
      <c r="B14" s="60" t="s">
        <v>381</v>
      </c>
      <c r="C14" s="83"/>
      <c r="D14" s="107"/>
      <c r="F14" s="108"/>
      <c r="G14" s="108"/>
      <c r="H14" s="108"/>
      <c r="I14" s="108"/>
      <c r="J14" s="108"/>
    </row>
    <row r="15" ht="12.75" customHeight="1">
      <c r="A15" s="97" t="s">
        <v>382</v>
      </c>
      <c r="B15" s="55"/>
      <c r="C15" s="55"/>
      <c r="D15" s="111">
        <f>D12/D13</f>
        <v>0.8940252944</v>
      </c>
      <c r="F15" s="113"/>
      <c r="G15" s="113"/>
      <c r="H15" s="113"/>
      <c r="I15" s="113"/>
      <c r="J15" s="113"/>
    </row>
    <row r="16" ht="12.75" customHeight="1">
      <c r="A16" s="62" t="s">
        <v>385</v>
      </c>
      <c r="B16" s="83"/>
      <c r="C16" s="62" t="s">
        <v>29</v>
      </c>
      <c r="D16" s="73">
        <v>8.8</v>
      </c>
      <c r="F16" s="73"/>
      <c r="G16" s="73"/>
      <c r="H16" s="73"/>
      <c r="I16" s="73"/>
      <c r="J16" s="73"/>
    </row>
    <row r="17" ht="1.5" customHeight="1">
      <c r="A17" s="62" t="s">
        <v>386</v>
      </c>
      <c r="B17" s="83"/>
      <c r="C17" s="62"/>
      <c r="D17" s="114">
        <v>0.95</v>
      </c>
      <c r="F17" s="114"/>
      <c r="G17" s="114"/>
      <c r="H17" s="114"/>
      <c r="I17" s="114"/>
      <c r="J17" s="114"/>
    </row>
    <row r="18" ht="12.75" customHeight="1">
      <c r="A18" s="62" t="s">
        <v>388</v>
      </c>
      <c r="B18" s="83"/>
      <c r="C18" s="62" t="s">
        <v>389</v>
      </c>
      <c r="D18" s="73">
        <v>1.34</v>
      </c>
      <c r="F18" s="116"/>
      <c r="G18" s="116"/>
      <c r="H18" s="116"/>
      <c r="I18" s="116"/>
      <c r="J18" s="116"/>
    </row>
    <row r="19" ht="12.75" customHeight="1">
      <c r="A19" s="62" t="s">
        <v>390</v>
      </c>
      <c r="B19" s="83"/>
      <c r="C19" s="62" t="s">
        <v>20</v>
      </c>
      <c r="D19" s="122">
        <f>(+D8+D6)/D18/D17</f>
        <v>700.1605246</v>
      </c>
      <c r="F19" s="90"/>
      <c r="G19" s="90"/>
      <c r="H19" s="90"/>
      <c r="I19" s="90"/>
      <c r="J19" s="90"/>
    </row>
    <row r="20" ht="12.75" customHeight="1">
      <c r="A20" s="124" t="s">
        <v>395</v>
      </c>
      <c r="B20" s="60"/>
      <c r="C20" s="62" t="s">
        <v>29</v>
      </c>
      <c r="D20" s="127">
        <f>D19/(D16^2*PI()/4)</f>
        <v>11.51177773</v>
      </c>
      <c r="F20" s="129"/>
      <c r="G20" s="129"/>
      <c r="H20" s="129"/>
      <c r="I20" s="129"/>
      <c r="J20" s="129"/>
    </row>
    <row r="21" ht="12.75" customHeight="1">
      <c r="A21" s="124" t="s">
        <v>398</v>
      </c>
      <c r="B21" s="83"/>
      <c r="C21" s="62" t="s">
        <v>399</v>
      </c>
      <c r="D21" s="73">
        <v>0.46</v>
      </c>
      <c r="F21" s="116"/>
      <c r="G21" s="116"/>
      <c r="H21" s="116"/>
      <c r="I21" s="116"/>
      <c r="J21" s="116"/>
    </row>
    <row r="22" ht="12.75" customHeight="1">
      <c r="A22" s="62" t="s">
        <v>400</v>
      </c>
      <c r="B22" s="83"/>
      <c r="C22" s="62" t="s">
        <v>29</v>
      </c>
      <c r="D22" s="129">
        <f>D16</f>
        <v>8.8</v>
      </c>
      <c r="F22" s="85"/>
      <c r="G22" s="85"/>
      <c r="H22" s="85"/>
      <c r="I22" s="85"/>
      <c r="J22" s="85"/>
    </row>
    <row r="23" ht="12.75" customHeight="1">
      <c r="A23" s="124" t="s">
        <v>401</v>
      </c>
      <c r="B23" s="83"/>
      <c r="C23" s="62" t="s">
        <v>20</v>
      </c>
      <c r="D23" s="90">
        <f>(D10+D7)/D21/D17</f>
        <v>566.5550139</v>
      </c>
      <c r="F23" s="90"/>
      <c r="G23" s="90"/>
      <c r="H23" s="90"/>
      <c r="I23" s="90"/>
      <c r="J23" s="90"/>
    </row>
    <row r="24" ht="12.75" customHeight="1">
      <c r="A24" s="124" t="s">
        <v>403</v>
      </c>
      <c r="B24" s="83"/>
      <c r="C24" s="62" t="s">
        <v>29</v>
      </c>
      <c r="D24" s="127">
        <f>D23/(D22^2*PI()/4)</f>
        <v>9.315085846</v>
      </c>
      <c r="F24" s="129"/>
      <c r="G24" s="129"/>
      <c r="H24" s="129"/>
      <c r="I24" s="129"/>
      <c r="J24" s="129"/>
    </row>
    <row r="25" ht="12.75" customHeight="1">
      <c r="A25" s="124" t="s">
        <v>404</v>
      </c>
      <c r="B25" s="83"/>
      <c r="C25" s="62"/>
      <c r="D25" s="73">
        <v>18.0</v>
      </c>
      <c r="F25" s="134"/>
      <c r="G25" s="134"/>
      <c r="H25" s="134"/>
      <c r="I25" s="134"/>
      <c r="J25" s="134"/>
    </row>
    <row r="26" ht="12.75" customHeight="1">
      <c r="A26" s="62" t="s">
        <v>405</v>
      </c>
      <c r="B26" s="83"/>
      <c r="C26" s="62" t="s">
        <v>29</v>
      </c>
      <c r="D26" s="82">
        <v>4.0</v>
      </c>
      <c r="F26" s="134"/>
      <c r="G26" s="134"/>
      <c r="H26" s="134"/>
      <c r="I26" s="134"/>
      <c r="J26" s="134"/>
    </row>
    <row r="27" ht="12.75" customHeight="1">
      <c r="A27" s="136" t="s">
        <v>406</v>
      </c>
      <c r="B27" s="138"/>
      <c r="C27" s="136" t="s">
        <v>29</v>
      </c>
      <c r="D27" s="141">
        <f>+D26+D25+D24+D20</f>
        <v>42.82686358</v>
      </c>
      <c r="F27" s="143"/>
      <c r="G27" s="143"/>
      <c r="H27" s="143"/>
      <c r="I27" s="143"/>
      <c r="J27" s="143"/>
    </row>
    <row r="28" ht="12.75" customHeight="1">
      <c r="A28" s="144"/>
      <c r="B28" s="145" t="s">
        <v>416</v>
      </c>
      <c r="C28" s="145" t="s">
        <v>29</v>
      </c>
      <c r="D28" s="147"/>
      <c r="F28" s="148"/>
      <c r="G28" s="148"/>
      <c r="H28" s="148"/>
      <c r="I28" s="148"/>
      <c r="J28" s="148"/>
    </row>
    <row r="29" ht="12.75" customHeight="1">
      <c r="A29" s="149" t="s">
        <v>419</v>
      </c>
      <c r="B29" s="151"/>
      <c r="C29" s="151"/>
      <c r="D29" s="152"/>
      <c r="F29" s="83"/>
      <c r="G29" s="83"/>
      <c r="H29" s="83"/>
      <c r="I29" s="83"/>
      <c r="J29" s="83"/>
    </row>
    <row r="30" ht="12.75" customHeight="1">
      <c r="A30" s="62" t="s">
        <v>431</v>
      </c>
      <c r="B30" s="72" t="s">
        <v>172</v>
      </c>
      <c r="C30" s="83"/>
      <c r="D30" s="153">
        <v>375.0</v>
      </c>
      <c r="F30" s="73"/>
      <c r="G30" s="73"/>
      <c r="H30" s="73"/>
      <c r="I30" s="73"/>
      <c r="J30" s="73"/>
    </row>
    <row r="31" ht="12.75" customHeight="1">
      <c r="A31" s="62" t="s">
        <v>438</v>
      </c>
      <c r="B31" s="72" t="s">
        <v>439</v>
      </c>
      <c r="C31" s="62" t="s">
        <v>440</v>
      </c>
      <c r="D31" s="122">
        <f>D30*9.81</f>
        <v>3678.75</v>
      </c>
      <c r="F31" s="90"/>
      <c r="G31" s="90"/>
      <c r="H31" s="90"/>
      <c r="I31" s="90"/>
      <c r="J31" s="90"/>
    </row>
    <row r="32" ht="12.75" customHeight="1">
      <c r="A32" s="97" t="s">
        <v>443</v>
      </c>
      <c r="B32" s="155" t="s">
        <v>444</v>
      </c>
      <c r="C32" s="55"/>
      <c r="D32" s="158">
        <f>D31*LN(D13/(D3+D4+D5))</f>
        <v>7302.479305</v>
      </c>
      <c r="F32" s="90"/>
      <c r="G32" s="90"/>
      <c r="H32" s="90"/>
      <c r="I32" s="90"/>
      <c r="J32" s="90"/>
    </row>
    <row r="33" ht="12.75" customHeight="1">
      <c r="A33" s="160" t="s">
        <v>452</v>
      </c>
      <c r="B33" s="162"/>
      <c r="C33" s="164"/>
      <c r="D33" s="165"/>
      <c r="F33" s="167"/>
      <c r="G33" s="165"/>
      <c r="H33" s="165"/>
      <c r="I33" s="165"/>
      <c r="J33" s="165"/>
    </row>
    <row r="34" ht="12.75" customHeight="1">
      <c r="A34" s="162" t="s">
        <v>462</v>
      </c>
      <c r="B34" s="162" t="s">
        <v>463</v>
      </c>
      <c r="C34" s="162" t="s">
        <v>464</v>
      </c>
      <c r="D34" s="165">
        <f>D31*D37/2/1000000</f>
        <v>15.5902482</v>
      </c>
      <c r="F34" s="165"/>
      <c r="G34" s="165"/>
      <c r="H34" s="165"/>
      <c r="I34" s="165"/>
      <c r="J34" s="165"/>
    </row>
    <row r="35" ht="12.75" customHeight="1">
      <c r="A35" s="62" t="s">
        <v>466</v>
      </c>
      <c r="B35" s="83"/>
      <c r="C35" s="62" t="s">
        <v>26</v>
      </c>
      <c r="D35" s="90">
        <f>360*0.4</f>
        <v>144</v>
      </c>
      <c r="F35" s="82"/>
      <c r="G35" s="82"/>
      <c r="H35" s="82"/>
      <c r="I35" s="82"/>
      <c r="J35" s="82"/>
    </row>
    <row r="36" ht="12.75" customHeight="1">
      <c r="A36" s="62" t="s">
        <v>468</v>
      </c>
      <c r="B36" s="83"/>
      <c r="C36" s="62"/>
      <c r="D36" s="73">
        <v>6.0</v>
      </c>
      <c r="F36" s="73"/>
      <c r="G36" s="73"/>
      <c r="H36" s="73"/>
      <c r="I36" s="73"/>
      <c r="J36" s="73"/>
    </row>
    <row r="37" ht="12.75" customHeight="1">
      <c r="A37" s="62" t="s">
        <v>470</v>
      </c>
      <c r="B37" s="83"/>
      <c r="C37" s="62" t="s">
        <v>471</v>
      </c>
      <c r="D37" s="116">
        <f>D36*D35*9.81</f>
        <v>8475.84</v>
      </c>
      <c r="E37">
        <f>D40*1000*D31</f>
        <v>8475840</v>
      </c>
      <c r="F37" s="90"/>
      <c r="G37" s="90"/>
      <c r="H37" s="90"/>
      <c r="I37" s="90"/>
      <c r="J37" s="90"/>
    </row>
    <row r="38" ht="12.75" customHeight="1">
      <c r="A38" s="83"/>
      <c r="B38" s="83"/>
      <c r="C38" s="62" t="s">
        <v>32</v>
      </c>
      <c r="D38" s="122">
        <f>D37/9.81</f>
        <v>864</v>
      </c>
      <c r="F38" s="90"/>
      <c r="G38" s="90"/>
      <c r="H38" s="90"/>
      <c r="I38" s="90"/>
      <c r="J38" s="90"/>
    </row>
    <row r="39" ht="12.75" customHeight="1">
      <c r="A39" s="171" t="s">
        <v>477</v>
      </c>
      <c r="B39" s="60" t="s">
        <v>478</v>
      </c>
      <c r="C39" s="83"/>
      <c r="D39" s="172">
        <f>D38/(D13*0.38)</f>
        <v>1.784837147</v>
      </c>
      <c r="F39" s="85"/>
      <c r="G39" s="85"/>
      <c r="H39" s="85"/>
      <c r="I39" s="85"/>
      <c r="J39" s="85"/>
    </row>
    <row r="40" ht="12.75" customHeight="1">
      <c r="A40" s="171" t="s">
        <v>486</v>
      </c>
      <c r="B40" s="83"/>
      <c r="C40" s="62" t="s">
        <v>487</v>
      </c>
      <c r="D40" s="172">
        <f>D38/D30</f>
        <v>2.304</v>
      </c>
      <c r="F40" s="85"/>
      <c r="G40" s="85"/>
      <c r="H40" s="85"/>
      <c r="I40" s="85"/>
      <c r="J40" s="85"/>
    </row>
    <row r="41" ht="12.75" customHeight="1">
      <c r="A41" s="171" t="s">
        <v>490</v>
      </c>
      <c r="B41" s="83"/>
      <c r="C41" s="62" t="s">
        <v>172</v>
      </c>
      <c r="D41" s="122">
        <f>(D8+D10)/D40</f>
        <v>476.9483025</v>
      </c>
      <c r="F41" s="90"/>
      <c r="G41" s="90"/>
      <c r="H41" s="90"/>
      <c r="I41" s="90"/>
      <c r="J41" s="90"/>
    </row>
    <row r="42" ht="12.75" customHeight="1">
      <c r="A42" s="83"/>
      <c r="B42" s="83"/>
      <c r="C42" s="62" t="s">
        <v>491</v>
      </c>
      <c r="D42" s="175">
        <f>D41/60</f>
        <v>7.949138374</v>
      </c>
      <c r="F42" s="85"/>
      <c r="G42" s="85"/>
      <c r="H42" s="85"/>
      <c r="I42" s="85"/>
      <c r="J42" s="85"/>
    </row>
    <row r="43" ht="12.75" customHeight="1">
      <c r="A43" s="83"/>
      <c r="B43" s="83"/>
      <c r="C43" s="83"/>
      <c r="D43" s="83"/>
      <c r="F43" s="83"/>
      <c r="G43" s="83"/>
      <c r="H43" s="83"/>
      <c r="I43" s="83"/>
      <c r="J43" s="83"/>
    </row>
    <row r="44" ht="12.75" customHeight="1">
      <c r="A44" s="178" t="s">
        <v>497</v>
      </c>
      <c r="B44" s="28"/>
      <c r="C44" s="179"/>
      <c r="D44" s="181">
        <v>0.6</v>
      </c>
      <c r="E44" s="2" t="s">
        <v>503</v>
      </c>
      <c r="F44" s="83"/>
      <c r="G44" s="83"/>
      <c r="H44" s="83"/>
      <c r="I44" s="83"/>
      <c r="J44" s="83"/>
    </row>
    <row r="45" ht="12.75" customHeight="1">
      <c r="A45" s="178" t="s">
        <v>505</v>
      </c>
      <c r="B45" s="28"/>
      <c r="C45" s="179" t="s">
        <v>178</v>
      </c>
      <c r="D45" s="182">
        <f>D34*D41/D44</f>
        <v>12392.90402</v>
      </c>
      <c r="F45" s="83"/>
      <c r="G45" s="83"/>
      <c r="H45" s="83"/>
      <c r="I45" s="83"/>
      <c r="J45" s="83"/>
    </row>
    <row r="46">
      <c r="A46" s="60" t="s">
        <v>511</v>
      </c>
      <c r="B46" s="60"/>
      <c r="C46" s="60" t="s">
        <v>512</v>
      </c>
      <c r="D46" s="60">
        <v>55.7</v>
      </c>
      <c r="F46" s="83"/>
      <c r="G46" s="83"/>
      <c r="H46" s="83"/>
      <c r="I46" s="83"/>
      <c r="J46" s="83"/>
    </row>
    <row r="47">
      <c r="A47" s="60" t="s">
        <v>515</v>
      </c>
      <c r="B47" s="83"/>
      <c r="C47" s="60" t="s">
        <v>178</v>
      </c>
      <c r="D47" s="184">
        <f>D46*D10</f>
        <v>13306.11111</v>
      </c>
      <c r="F47" s="83"/>
      <c r="G47" s="83"/>
      <c r="H47" s="83"/>
      <c r="I47" s="83"/>
      <c r="J47" s="83"/>
    </row>
    <row r="48">
      <c r="A48" s="60" t="s">
        <v>519</v>
      </c>
      <c r="B48" s="60"/>
      <c r="C48" s="83"/>
      <c r="D48" s="60">
        <f>365*2</f>
        <v>730</v>
      </c>
      <c r="F48" s="83"/>
      <c r="G48" s="83"/>
      <c r="H48" s="83"/>
      <c r="I48" s="83"/>
      <c r="J48" s="83"/>
    </row>
    <row r="49">
      <c r="A49" s="60" t="s">
        <v>521</v>
      </c>
      <c r="B49" s="83"/>
      <c r="C49" s="83"/>
      <c r="D49" s="83">
        <f>D48*24*3600</f>
        <v>63072000</v>
      </c>
      <c r="F49" s="83"/>
      <c r="G49" s="83"/>
      <c r="H49" s="83"/>
      <c r="I49" s="83"/>
      <c r="J49" s="83"/>
    </row>
    <row r="50">
      <c r="A50" s="60" t="s">
        <v>525</v>
      </c>
      <c r="B50" s="83"/>
      <c r="C50" s="60" t="s">
        <v>99</v>
      </c>
      <c r="D50" s="184">
        <f>D45*1000000000/D49/1000</f>
        <v>196.4882043</v>
      </c>
      <c r="F50" s="83"/>
      <c r="G50" s="83"/>
      <c r="H50" s="83"/>
      <c r="I50" s="83"/>
      <c r="J50" s="83"/>
    </row>
    <row r="51">
      <c r="A51" s="60" t="s">
        <v>526</v>
      </c>
      <c r="B51" s="83"/>
      <c r="C51" s="60" t="s">
        <v>512</v>
      </c>
      <c r="D51" s="60">
        <v>180.0</v>
      </c>
      <c r="E51" s="2" t="s">
        <v>302</v>
      </c>
      <c r="F51" s="83"/>
      <c r="G51" s="83"/>
      <c r="H51" s="83"/>
      <c r="I51" s="83"/>
      <c r="J51" s="83"/>
    </row>
    <row r="52">
      <c r="A52" s="60" t="s">
        <v>527</v>
      </c>
      <c r="B52" s="83"/>
      <c r="C52" s="60" t="s">
        <v>142</v>
      </c>
      <c r="D52" s="60">
        <v>124000.0</v>
      </c>
      <c r="F52" s="83"/>
      <c r="G52" s="83"/>
      <c r="H52" s="83"/>
      <c r="I52" s="83"/>
      <c r="J52" s="83"/>
    </row>
    <row r="53">
      <c r="A53" s="60" t="s">
        <v>528</v>
      </c>
      <c r="B53" s="83"/>
      <c r="C53" s="60" t="s">
        <v>178</v>
      </c>
      <c r="D53" s="83">
        <f>D51*D52/1000</f>
        <v>22320</v>
      </c>
      <c r="F53" s="83"/>
      <c r="G53" s="83"/>
      <c r="H53" s="83"/>
      <c r="I53" s="83"/>
      <c r="J53" s="83"/>
    </row>
    <row r="54">
      <c r="A54" s="83"/>
      <c r="B54" s="83"/>
      <c r="C54" s="83"/>
      <c r="D54" s="83"/>
      <c r="F54" s="83"/>
      <c r="G54" s="83"/>
      <c r="H54" s="83"/>
      <c r="I54" s="83"/>
      <c r="J54" s="83"/>
    </row>
    <row r="55">
      <c r="A55" s="60"/>
      <c r="B55" s="83"/>
      <c r="C55" s="83"/>
      <c r="D55" s="187"/>
      <c r="F55" s="83"/>
      <c r="G55" s="83"/>
      <c r="H55" s="83"/>
      <c r="I55" s="83"/>
      <c r="J55" s="83"/>
    </row>
    <row r="56">
      <c r="A56" s="60"/>
      <c r="B56" s="83"/>
      <c r="C56" s="60"/>
      <c r="D56" s="184"/>
      <c r="F56" s="83"/>
      <c r="G56" s="83"/>
      <c r="H56" s="83"/>
      <c r="I56" s="83"/>
      <c r="J56" s="83"/>
    </row>
    <row r="57">
      <c r="A57" s="83"/>
      <c r="B57" s="83"/>
      <c r="C57" s="83"/>
      <c r="D57" s="83"/>
      <c r="F57" s="83"/>
      <c r="G57" s="83"/>
      <c r="H57" s="83"/>
      <c r="I57" s="83"/>
      <c r="J57" s="83"/>
    </row>
    <row r="58">
      <c r="F58" s="83"/>
      <c r="G58" s="83"/>
      <c r="H58" s="83"/>
      <c r="I58" s="83"/>
      <c r="J58" s="83"/>
    </row>
    <row r="59">
      <c r="F59" s="83"/>
      <c r="G59" s="83"/>
      <c r="H59" s="83"/>
      <c r="I59" s="83"/>
      <c r="J59" s="83"/>
    </row>
    <row r="60">
      <c r="A60" s="83"/>
      <c r="B60" s="83"/>
      <c r="C60" s="83"/>
      <c r="D60" s="83"/>
      <c r="F60" s="83"/>
      <c r="G60" s="83"/>
      <c r="H60" s="83"/>
      <c r="I60" s="83"/>
      <c r="J60" s="83"/>
    </row>
    <row r="61">
      <c r="A61" s="83"/>
      <c r="B61" s="83"/>
      <c r="C61" s="83"/>
      <c r="D61" s="83"/>
      <c r="F61" s="83"/>
      <c r="G61" s="83"/>
      <c r="H61" s="83"/>
      <c r="I61" s="83"/>
      <c r="J61" s="83"/>
    </row>
    <row r="62">
      <c r="A62" s="83"/>
      <c r="B62" s="83"/>
      <c r="C62" s="83"/>
      <c r="D62" s="83"/>
      <c r="F62" s="83"/>
      <c r="G62" s="83"/>
      <c r="H62" s="83"/>
      <c r="I62" s="83"/>
      <c r="J62" s="83"/>
    </row>
    <row r="63">
      <c r="A63" s="83"/>
      <c r="B63" s="83"/>
      <c r="C63" s="83"/>
      <c r="D63" s="83"/>
      <c r="F63" s="83"/>
      <c r="G63" s="83"/>
      <c r="H63" s="83"/>
      <c r="I63" s="83"/>
      <c r="J63" s="83"/>
    </row>
    <row r="64">
      <c r="A64" s="83"/>
      <c r="B64" s="83"/>
      <c r="C64" s="83"/>
      <c r="D64" s="83"/>
      <c r="F64" s="83"/>
      <c r="G64" s="83"/>
      <c r="H64" s="83"/>
      <c r="I64" s="83"/>
      <c r="J64" s="83"/>
    </row>
    <row r="65">
      <c r="A65" s="83"/>
      <c r="B65" s="83"/>
      <c r="C65" s="83"/>
      <c r="D65" s="83"/>
      <c r="F65" s="83"/>
      <c r="G65" s="83"/>
      <c r="H65" s="83"/>
      <c r="I65" s="83"/>
      <c r="J65" s="83"/>
    </row>
    <row r="66">
      <c r="A66" s="83"/>
      <c r="B66" s="83"/>
      <c r="C66" s="83"/>
      <c r="D66" s="83"/>
      <c r="F66" s="83"/>
      <c r="G66" s="83"/>
      <c r="H66" s="83"/>
      <c r="I66" s="83"/>
      <c r="J66" s="83"/>
    </row>
    <row r="67">
      <c r="A67" s="83"/>
      <c r="B67" s="83"/>
      <c r="C67" s="83"/>
      <c r="D67" s="83"/>
      <c r="F67" s="83"/>
      <c r="G67" s="83"/>
      <c r="H67" s="83"/>
      <c r="I67" s="83"/>
      <c r="J67" s="83"/>
    </row>
    <row r="68">
      <c r="A68" s="83"/>
      <c r="B68" s="83"/>
      <c r="C68" s="83"/>
      <c r="D68" s="83"/>
      <c r="F68" s="83"/>
      <c r="G68" s="83"/>
      <c r="H68" s="83"/>
      <c r="I68" s="83"/>
      <c r="J68" s="83"/>
    </row>
    <row r="69">
      <c r="A69" s="83"/>
      <c r="B69" s="83"/>
      <c r="C69" s="83"/>
      <c r="D69" s="83"/>
      <c r="F69" s="83"/>
      <c r="G69" s="83"/>
      <c r="H69" s="83"/>
      <c r="I69" s="83"/>
      <c r="J69" s="83"/>
    </row>
    <row r="70">
      <c r="A70" s="83"/>
      <c r="B70" s="83"/>
      <c r="C70" s="83"/>
      <c r="D70" s="83"/>
      <c r="F70" s="83"/>
      <c r="G70" s="83"/>
      <c r="H70" s="83"/>
      <c r="I70" s="83"/>
      <c r="J70" s="83"/>
    </row>
    <row r="71">
      <c r="A71" s="83"/>
      <c r="B71" s="83"/>
      <c r="C71" s="83"/>
      <c r="D71" s="83"/>
      <c r="F71" s="83"/>
      <c r="G71" s="83"/>
      <c r="H71" s="83"/>
      <c r="I71" s="83"/>
      <c r="J71" s="83"/>
    </row>
    <row r="72">
      <c r="A72" s="83"/>
      <c r="B72" s="83"/>
      <c r="C72" s="83"/>
      <c r="D72" s="83"/>
      <c r="F72" s="83"/>
      <c r="G72" s="83"/>
      <c r="H72" s="83"/>
      <c r="I72" s="83"/>
      <c r="J72" s="83"/>
    </row>
    <row r="73">
      <c r="A73" s="83"/>
      <c r="B73" s="83"/>
      <c r="C73" s="83"/>
      <c r="D73" s="83"/>
      <c r="F73" s="83"/>
      <c r="G73" s="83"/>
      <c r="H73" s="83"/>
      <c r="I73" s="83"/>
      <c r="J73" s="83"/>
    </row>
    <row r="74">
      <c r="A74" s="83"/>
      <c r="B74" s="83"/>
      <c r="C74" s="83"/>
      <c r="D74" s="83"/>
      <c r="F74" s="83"/>
      <c r="G74" s="83"/>
      <c r="H74" s="83"/>
      <c r="I74" s="83"/>
      <c r="J74" s="83"/>
    </row>
    <row r="75">
      <c r="A75" s="83"/>
      <c r="B75" s="83"/>
      <c r="C75" s="83"/>
      <c r="D75" s="83"/>
      <c r="F75" s="83"/>
      <c r="G75" s="83"/>
      <c r="H75" s="83"/>
      <c r="I75" s="83"/>
      <c r="J75" s="83"/>
    </row>
    <row r="76">
      <c r="A76" s="83"/>
      <c r="B76" s="83"/>
      <c r="C76" s="83"/>
      <c r="D76" s="83"/>
      <c r="F76" s="83"/>
      <c r="G76" s="83"/>
      <c r="H76" s="83"/>
      <c r="I76" s="83"/>
      <c r="J76" s="83"/>
    </row>
    <row r="77">
      <c r="A77" s="83"/>
      <c r="B77" s="83"/>
      <c r="C77" s="83"/>
      <c r="D77" s="83"/>
      <c r="F77" s="83"/>
      <c r="G77" s="83"/>
      <c r="H77" s="83"/>
      <c r="I77" s="83"/>
      <c r="J77" s="83"/>
    </row>
    <row r="78">
      <c r="A78" s="83"/>
      <c r="B78" s="83"/>
      <c r="C78" s="83"/>
      <c r="D78" s="83"/>
      <c r="F78" s="83"/>
      <c r="G78" s="83"/>
      <c r="H78" s="83"/>
      <c r="I78" s="83"/>
      <c r="J78" s="83"/>
    </row>
    <row r="79">
      <c r="A79" s="83"/>
      <c r="B79" s="83"/>
      <c r="C79" s="83"/>
      <c r="D79" s="83"/>
      <c r="F79" s="83"/>
      <c r="G79" s="83"/>
      <c r="H79" s="83"/>
      <c r="I79" s="83"/>
      <c r="J79" s="83"/>
    </row>
    <row r="80">
      <c r="A80" s="83"/>
      <c r="B80" s="83"/>
      <c r="C80" s="83"/>
      <c r="D80" s="83"/>
      <c r="F80" s="83"/>
      <c r="G80" s="83"/>
      <c r="H80" s="83"/>
      <c r="I80" s="83"/>
      <c r="J80" s="83"/>
    </row>
    <row r="81">
      <c r="A81" s="83"/>
      <c r="B81" s="83"/>
      <c r="C81" s="83"/>
      <c r="D81" s="83"/>
      <c r="F81" s="83"/>
      <c r="G81" s="83"/>
      <c r="H81" s="83"/>
      <c r="I81" s="83"/>
      <c r="J81" s="83"/>
    </row>
    <row r="82">
      <c r="A82" s="83"/>
      <c r="B82" s="83"/>
      <c r="C82" s="83"/>
      <c r="D82" s="83"/>
      <c r="F82" s="83"/>
      <c r="G82" s="83"/>
      <c r="H82" s="83"/>
      <c r="I82" s="83"/>
      <c r="J82" s="83"/>
    </row>
    <row r="83">
      <c r="A83" s="83"/>
      <c r="B83" s="83"/>
      <c r="C83" s="83"/>
      <c r="D83" s="83"/>
      <c r="F83" s="83"/>
      <c r="G83" s="83"/>
      <c r="H83" s="83"/>
      <c r="I83" s="83"/>
      <c r="J83" s="83"/>
    </row>
    <row r="84">
      <c r="A84" s="83"/>
      <c r="B84" s="83"/>
      <c r="C84" s="83"/>
      <c r="D84" s="83"/>
      <c r="F84" s="83"/>
      <c r="G84" s="83"/>
      <c r="H84" s="83"/>
      <c r="I84" s="83"/>
      <c r="J84" s="83"/>
    </row>
    <row r="85">
      <c r="A85" s="83"/>
      <c r="B85" s="83"/>
      <c r="C85" s="83"/>
      <c r="D85" s="83"/>
      <c r="F85" s="83"/>
      <c r="G85" s="83"/>
      <c r="H85" s="83"/>
      <c r="I85" s="83"/>
      <c r="J85" s="83"/>
    </row>
    <row r="86">
      <c r="A86" s="83"/>
      <c r="B86" s="83"/>
      <c r="C86" s="83"/>
      <c r="D86" s="83"/>
      <c r="F86" s="83"/>
      <c r="G86" s="83"/>
      <c r="H86" s="83"/>
      <c r="I86" s="83"/>
      <c r="J86" s="83"/>
    </row>
    <row r="87">
      <c r="A87" s="83"/>
      <c r="B87" s="83"/>
      <c r="C87" s="83"/>
      <c r="D87" s="83"/>
      <c r="F87" s="83"/>
      <c r="G87" s="83"/>
      <c r="H87" s="83"/>
      <c r="I87" s="83"/>
      <c r="J87" s="83"/>
    </row>
    <row r="88">
      <c r="A88" s="83"/>
      <c r="B88" s="83"/>
      <c r="C88" s="83"/>
      <c r="D88" s="83"/>
      <c r="F88" s="83"/>
      <c r="G88" s="83"/>
      <c r="H88" s="83"/>
      <c r="I88" s="83"/>
      <c r="J88" s="83"/>
    </row>
    <row r="89">
      <c r="A89" s="83"/>
      <c r="B89" s="83"/>
      <c r="C89" s="83"/>
      <c r="D89" s="83"/>
      <c r="F89" s="83"/>
      <c r="G89" s="83"/>
      <c r="H89" s="83"/>
      <c r="I89" s="83"/>
      <c r="J89" s="83"/>
    </row>
    <row r="90">
      <c r="A90" s="83"/>
      <c r="B90" s="83"/>
      <c r="C90" s="83"/>
      <c r="D90" s="83"/>
      <c r="F90" s="83"/>
      <c r="G90" s="83"/>
      <c r="H90" s="83"/>
      <c r="I90" s="83"/>
      <c r="J90" s="83"/>
    </row>
    <row r="91">
      <c r="A91" s="83"/>
      <c r="B91" s="83"/>
      <c r="C91" s="83"/>
      <c r="D91" s="83"/>
      <c r="F91" s="83"/>
      <c r="G91" s="83"/>
      <c r="H91" s="83"/>
      <c r="I91" s="83"/>
      <c r="J91" s="83"/>
    </row>
    <row r="92">
      <c r="A92" s="83"/>
      <c r="B92" s="83"/>
      <c r="C92" s="83"/>
      <c r="D92" s="83"/>
      <c r="F92" s="83"/>
      <c r="G92" s="83"/>
      <c r="H92" s="83"/>
      <c r="I92" s="83"/>
      <c r="J92" s="83"/>
    </row>
    <row r="93">
      <c r="A93" s="83"/>
      <c r="B93" s="83"/>
      <c r="C93" s="83"/>
      <c r="D93" s="83"/>
      <c r="F93" s="83"/>
      <c r="G93" s="83"/>
      <c r="H93" s="83"/>
      <c r="I93" s="83"/>
      <c r="J93" s="83"/>
    </row>
    <row r="94">
      <c r="A94" s="83"/>
      <c r="B94" s="83"/>
      <c r="C94" s="83"/>
      <c r="D94" s="83"/>
      <c r="F94" s="83"/>
      <c r="G94" s="83"/>
      <c r="H94" s="83"/>
      <c r="I94" s="83"/>
      <c r="J94" s="83"/>
    </row>
    <row r="95">
      <c r="A95" s="83"/>
      <c r="B95" s="83"/>
      <c r="C95" s="83"/>
      <c r="D95" s="83"/>
      <c r="F95" s="83"/>
      <c r="G95" s="83"/>
      <c r="H95" s="83"/>
      <c r="I95" s="83"/>
      <c r="J95" s="83"/>
    </row>
    <row r="96">
      <c r="A96" s="83"/>
      <c r="B96" s="83"/>
      <c r="C96" s="83"/>
      <c r="D96" s="83"/>
      <c r="F96" s="83"/>
      <c r="G96" s="83"/>
      <c r="H96" s="83"/>
      <c r="I96" s="83"/>
      <c r="J96" s="83"/>
    </row>
    <row r="97">
      <c r="A97" s="83"/>
      <c r="B97" s="83"/>
      <c r="C97" s="83"/>
      <c r="D97" s="83"/>
      <c r="F97" s="83"/>
      <c r="G97" s="83"/>
      <c r="H97" s="83"/>
      <c r="I97" s="83"/>
      <c r="J97" s="83"/>
    </row>
    <row r="98">
      <c r="A98" s="83"/>
      <c r="B98" s="83"/>
      <c r="C98" s="83"/>
      <c r="D98" s="83"/>
      <c r="F98" s="83"/>
      <c r="G98" s="83"/>
      <c r="H98" s="83"/>
      <c r="I98" s="83"/>
      <c r="J98" s="83"/>
    </row>
    <row r="99">
      <c r="A99" s="83"/>
      <c r="B99" s="83"/>
      <c r="C99" s="83"/>
      <c r="D99" s="83"/>
      <c r="F99" s="83"/>
      <c r="G99" s="83"/>
      <c r="H99" s="83"/>
      <c r="I99" s="83"/>
      <c r="J99" s="83"/>
    </row>
    <row r="100">
      <c r="A100" s="83"/>
      <c r="B100" s="83"/>
      <c r="C100" s="83"/>
      <c r="D100" s="83"/>
      <c r="F100" s="83"/>
      <c r="G100" s="83"/>
      <c r="H100" s="83"/>
      <c r="I100" s="83"/>
      <c r="J100" s="83"/>
    </row>
    <row r="101">
      <c r="A101" s="83"/>
      <c r="B101" s="83"/>
      <c r="C101" s="83"/>
      <c r="D101" s="83"/>
      <c r="F101" s="83"/>
      <c r="G101" s="83"/>
      <c r="H101" s="83"/>
      <c r="I101" s="83"/>
      <c r="J101" s="83"/>
    </row>
    <row r="102">
      <c r="A102" s="83"/>
      <c r="B102" s="83"/>
      <c r="C102" s="83"/>
      <c r="D102" s="83"/>
      <c r="F102" s="83"/>
      <c r="G102" s="83"/>
      <c r="H102" s="83"/>
      <c r="I102" s="83"/>
      <c r="J102" s="83"/>
    </row>
    <row r="103">
      <c r="A103" s="83"/>
      <c r="B103" s="83"/>
      <c r="C103" s="83"/>
      <c r="D103" s="83"/>
      <c r="F103" s="83"/>
      <c r="G103" s="83"/>
      <c r="H103" s="83"/>
      <c r="I103" s="83"/>
      <c r="J103" s="83"/>
    </row>
    <row r="104">
      <c r="A104" s="83"/>
      <c r="B104" s="83"/>
      <c r="C104" s="83"/>
      <c r="D104" s="83"/>
      <c r="F104" s="83"/>
      <c r="G104" s="83"/>
      <c r="H104" s="83"/>
      <c r="I104" s="83"/>
      <c r="J104" s="83"/>
    </row>
    <row r="105">
      <c r="A105" s="83"/>
      <c r="B105" s="83"/>
      <c r="C105" s="83"/>
      <c r="D105" s="83"/>
      <c r="F105" s="83"/>
      <c r="G105" s="83"/>
      <c r="H105" s="83"/>
      <c r="I105" s="83"/>
      <c r="J105" s="83"/>
    </row>
    <row r="106">
      <c r="A106" s="83"/>
      <c r="B106" s="83"/>
      <c r="C106" s="83"/>
      <c r="D106" s="83"/>
      <c r="F106" s="83"/>
      <c r="G106" s="83"/>
      <c r="H106" s="83"/>
      <c r="I106" s="83"/>
      <c r="J106" s="83"/>
    </row>
    <row r="107">
      <c r="A107" s="83"/>
      <c r="B107" s="83"/>
      <c r="C107" s="83"/>
      <c r="D107" s="83"/>
      <c r="F107" s="83"/>
      <c r="G107" s="83"/>
      <c r="H107" s="83"/>
      <c r="I107" s="83"/>
      <c r="J107" s="83"/>
    </row>
    <row r="108">
      <c r="A108" s="83"/>
      <c r="B108" s="83"/>
      <c r="C108" s="83"/>
      <c r="D108" s="83"/>
      <c r="F108" s="83"/>
      <c r="G108" s="83"/>
      <c r="H108" s="83"/>
      <c r="I108" s="83"/>
      <c r="J108" s="83"/>
    </row>
    <row r="109">
      <c r="A109" s="83"/>
      <c r="B109" s="83"/>
      <c r="C109" s="83"/>
      <c r="D109" s="83"/>
      <c r="F109" s="83"/>
      <c r="G109" s="83"/>
      <c r="H109" s="83"/>
      <c r="I109" s="83"/>
      <c r="J109" s="83"/>
    </row>
    <row r="110">
      <c r="A110" s="83"/>
      <c r="B110" s="83"/>
      <c r="C110" s="83"/>
      <c r="D110" s="83"/>
      <c r="F110" s="83"/>
      <c r="G110" s="83"/>
      <c r="H110" s="83"/>
      <c r="I110" s="83"/>
      <c r="J110" s="83"/>
    </row>
    <row r="111">
      <c r="A111" s="83"/>
      <c r="B111" s="83"/>
      <c r="C111" s="83"/>
      <c r="D111" s="83"/>
      <c r="F111" s="83"/>
      <c r="G111" s="83"/>
      <c r="H111" s="83"/>
      <c r="I111" s="83"/>
      <c r="J111" s="83"/>
    </row>
    <row r="112">
      <c r="A112" s="83"/>
      <c r="B112" s="83"/>
      <c r="C112" s="83"/>
      <c r="D112" s="83"/>
      <c r="F112" s="83"/>
      <c r="G112" s="83"/>
      <c r="H112" s="83"/>
      <c r="I112" s="83"/>
      <c r="J112" s="83"/>
    </row>
    <row r="113">
      <c r="A113" s="83"/>
      <c r="B113" s="83"/>
      <c r="C113" s="83"/>
      <c r="D113" s="83"/>
      <c r="F113" s="83"/>
      <c r="G113" s="83"/>
      <c r="H113" s="83"/>
      <c r="I113" s="83"/>
      <c r="J113" s="83"/>
    </row>
    <row r="114">
      <c r="A114" s="83"/>
      <c r="B114" s="83"/>
      <c r="C114" s="83"/>
      <c r="D114" s="83"/>
      <c r="F114" s="83"/>
      <c r="G114" s="83"/>
      <c r="H114" s="83"/>
      <c r="I114" s="83"/>
      <c r="J114" s="83"/>
    </row>
    <row r="115">
      <c r="A115" s="83"/>
      <c r="B115" s="83"/>
      <c r="C115" s="83"/>
      <c r="D115" s="83"/>
      <c r="F115" s="83"/>
      <c r="G115" s="83"/>
      <c r="H115" s="83"/>
      <c r="I115" s="83"/>
      <c r="J115" s="83"/>
    </row>
    <row r="116">
      <c r="A116" s="83"/>
      <c r="B116" s="83"/>
      <c r="C116" s="83"/>
      <c r="D116" s="83"/>
      <c r="F116" s="83"/>
      <c r="G116" s="83"/>
      <c r="H116" s="83"/>
      <c r="I116" s="83"/>
      <c r="J116" s="83"/>
    </row>
    <row r="117">
      <c r="A117" s="83"/>
      <c r="B117" s="83"/>
      <c r="C117" s="83"/>
      <c r="D117" s="83"/>
      <c r="F117" s="83"/>
      <c r="G117" s="83"/>
      <c r="H117" s="83"/>
      <c r="I117" s="83"/>
      <c r="J117" s="83"/>
    </row>
    <row r="118">
      <c r="A118" s="83"/>
      <c r="B118" s="83"/>
      <c r="C118" s="83"/>
      <c r="D118" s="83"/>
      <c r="F118" s="83"/>
      <c r="G118" s="83"/>
      <c r="H118" s="83"/>
      <c r="I118" s="83"/>
      <c r="J118" s="83"/>
    </row>
    <row r="119">
      <c r="A119" s="83"/>
      <c r="B119" s="83"/>
      <c r="C119" s="83"/>
      <c r="D119" s="83"/>
      <c r="F119" s="83"/>
      <c r="G119" s="83"/>
      <c r="H119" s="83"/>
      <c r="I119" s="83"/>
      <c r="J119" s="83"/>
    </row>
    <row r="120">
      <c r="A120" s="83"/>
      <c r="B120" s="83"/>
      <c r="C120" s="83"/>
      <c r="D120" s="83"/>
      <c r="F120" s="83"/>
      <c r="G120" s="83"/>
      <c r="H120" s="83"/>
      <c r="I120" s="83"/>
      <c r="J120" s="83"/>
    </row>
    <row r="121">
      <c r="A121" s="83"/>
      <c r="B121" s="83"/>
      <c r="C121" s="83"/>
      <c r="D121" s="83"/>
      <c r="F121" s="83"/>
      <c r="G121" s="83"/>
      <c r="H121" s="83"/>
      <c r="I121" s="83"/>
      <c r="J121" s="83"/>
    </row>
    <row r="122">
      <c r="A122" s="83"/>
      <c r="B122" s="83"/>
      <c r="C122" s="83"/>
      <c r="D122" s="83"/>
      <c r="F122" s="83"/>
      <c r="G122" s="83"/>
      <c r="H122" s="83"/>
      <c r="I122" s="83"/>
      <c r="J122" s="83"/>
    </row>
    <row r="123">
      <c r="A123" s="83"/>
      <c r="B123" s="83"/>
      <c r="C123" s="83"/>
      <c r="D123" s="83"/>
      <c r="F123" s="83"/>
      <c r="G123" s="83"/>
      <c r="H123" s="83"/>
      <c r="I123" s="83"/>
      <c r="J123" s="83"/>
    </row>
    <row r="124">
      <c r="A124" s="83"/>
      <c r="B124" s="83"/>
      <c r="C124" s="83"/>
      <c r="D124" s="83"/>
      <c r="F124" s="83"/>
      <c r="G124" s="83"/>
      <c r="H124" s="83"/>
      <c r="I124" s="83"/>
      <c r="J124" s="83"/>
    </row>
    <row r="125">
      <c r="A125" s="83"/>
      <c r="B125" s="83"/>
      <c r="C125" s="83"/>
      <c r="D125" s="83"/>
      <c r="F125" s="83"/>
      <c r="G125" s="83"/>
      <c r="H125" s="83"/>
      <c r="I125" s="83"/>
      <c r="J125" s="83"/>
    </row>
    <row r="126">
      <c r="A126" s="83"/>
      <c r="B126" s="83"/>
      <c r="C126" s="83"/>
      <c r="D126" s="83"/>
      <c r="F126" s="83"/>
      <c r="G126" s="83"/>
      <c r="H126" s="83"/>
      <c r="I126" s="83"/>
      <c r="J126" s="83"/>
    </row>
    <row r="127">
      <c r="A127" s="83"/>
      <c r="B127" s="83"/>
      <c r="C127" s="83"/>
      <c r="D127" s="83"/>
      <c r="F127" s="83"/>
      <c r="G127" s="83"/>
      <c r="H127" s="83"/>
      <c r="I127" s="83"/>
      <c r="J127" s="83"/>
    </row>
    <row r="128">
      <c r="A128" s="83"/>
      <c r="B128" s="83"/>
      <c r="C128" s="83"/>
      <c r="D128" s="83"/>
      <c r="F128" s="83"/>
      <c r="G128" s="83"/>
      <c r="H128" s="83"/>
      <c r="I128" s="83"/>
      <c r="J128" s="83"/>
    </row>
    <row r="129">
      <c r="A129" s="83"/>
      <c r="B129" s="83"/>
      <c r="C129" s="83"/>
      <c r="D129" s="83"/>
      <c r="F129" s="83"/>
      <c r="G129" s="83"/>
      <c r="H129" s="83"/>
      <c r="I129" s="83"/>
      <c r="J129" s="83"/>
    </row>
    <row r="130">
      <c r="A130" s="83"/>
      <c r="B130" s="83"/>
      <c r="C130" s="83"/>
      <c r="D130" s="83"/>
      <c r="F130" s="83"/>
      <c r="G130" s="83"/>
      <c r="H130" s="83"/>
      <c r="I130" s="83"/>
      <c r="J130" s="83"/>
    </row>
    <row r="131">
      <c r="A131" s="83"/>
      <c r="B131" s="83"/>
      <c r="C131" s="83"/>
      <c r="D131" s="83"/>
      <c r="F131" s="83"/>
      <c r="G131" s="83"/>
      <c r="H131" s="83"/>
      <c r="I131" s="83"/>
      <c r="J131" s="83"/>
    </row>
    <row r="132">
      <c r="A132" s="83"/>
      <c r="B132" s="83"/>
      <c r="C132" s="83"/>
      <c r="D132" s="83"/>
      <c r="F132" s="83"/>
      <c r="G132" s="83"/>
      <c r="H132" s="83"/>
      <c r="I132" s="83"/>
      <c r="J132" s="83"/>
    </row>
    <row r="133">
      <c r="A133" s="83"/>
      <c r="B133" s="83"/>
      <c r="C133" s="83"/>
      <c r="D133" s="83"/>
      <c r="F133" s="83"/>
      <c r="G133" s="83"/>
      <c r="H133" s="83"/>
      <c r="I133" s="83"/>
      <c r="J133" s="83"/>
    </row>
    <row r="134">
      <c r="A134" s="83"/>
      <c r="B134" s="83"/>
      <c r="C134" s="83"/>
      <c r="D134" s="83"/>
      <c r="F134" s="83"/>
      <c r="G134" s="83"/>
      <c r="H134" s="83"/>
      <c r="I134" s="83"/>
      <c r="J134" s="83"/>
    </row>
    <row r="135">
      <c r="A135" s="83"/>
      <c r="B135" s="83"/>
      <c r="C135" s="83"/>
      <c r="D135" s="83"/>
      <c r="F135" s="83"/>
      <c r="G135" s="83"/>
      <c r="H135" s="83"/>
      <c r="I135" s="83"/>
      <c r="J135" s="83"/>
    </row>
    <row r="136">
      <c r="A136" s="83"/>
      <c r="B136" s="83"/>
      <c r="C136" s="83"/>
      <c r="D136" s="83"/>
      <c r="F136" s="83"/>
      <c r="G136" s="83"/>
      <c r="H136" s="83"/>
      <c r="I136" s="83"/>
      <c r="J136" s="83"/>
    </row>
    <row r="137">
      <c r="A137" s="83"/>
      <c r="B137" s="83"/>
      <c r="C137" s="83"/>
      <c r="D137" s="83"/>
      <c r="F137" s="83"/>
      <c r="G137" s="83"/>
      <c r="H137" s="83"/>
      <c r="I137" s="83"/>
      <c r="J137" s="83"/>
    </row>
    <row r="138">
      <c r="A138" s="83"/>
      <c r="B138" s="83"/>
      <c r="C138" s="83"/>
      <c r="D138" s="83"/>
      <c r="F138" s="83"/>
      <c r="G138" s="83"/>
      <c r="H138" s="83"/>
      <c r="I138" s="83"/>
      <c r="J138" s="83"/>
    </row>
    <row r="139">
      <c r="A139" s="83"/>
      <c r="B139" s="83"/>
      <c r="C139" s="83"/>
      <c r="D139" s="83"/>
      <c r="F139" s="83"/>
      <c r="G139" s="83"/>
      <c r="H139" s="83"/>
      <c r="I139" s="83"/>
      <c r="J139" s="83"/>
    </row>
    <row r="140">
      <c r="A140" s="83"/>
      <c r="B140" s="83"/>
      <c r="C140" s="83"/>
      <c r="D140" s="83"/>
      <c r="F140" s="83"/>
      <c r="G140" s="83"/>
      <c r="H140" s="83"/>
      <c r="I140" s="83"/>
      <c r="J140" s="83"/>
    </row>
    <row r="141">
      <c r="A141" s="83"/>
      <c r="B141" s="83"/>
      <c r="C141" s="83"/>
      <c r="D141" s="83"/>
      <c r="F141" s="83"/>
      <c r="G141" s="83"/>
      <c r="H141" s="83"/>
      <c r="I141" s="83"/>
      <c r="J141" s="83"/>
    </row>
    <row r="142">
      <c r="A142" s="83"/>
      <c r="B142" s="83"/>
      <c r="C142" s="83"/>
      <c r="D142" s="83"/>
      <c r="F142" s="83"/>
      <c r="G142" s="83"/>
      <c r="H142" s="83"/>
      <c r="I142" s="83"/>
      <c r="J142" s="83"/>
    </row>
    <row r="143">
      <c r="A143" s="83"/>
      <c r="B143" s="83"/>
      <c r="C143" s="83"/>
      <c r="D143" s="83"/>
      <c r="F143" s="83"/>
      <c r="G143" s="83"/>
      <c r="H143" s="83"/>
      <c r="I143" s="83"/>
      <c r="J143" s="83"/>
    </row>
    <row r="144">
      <c r="A144" s="83"/>
      <c r="B144" s="83"/>
      <c r="C144" s="83"/>
      <c r="D144" s="83"/>
      <c r="F144" s="83"/>
      <c r="G144" s="83"/>
      <c r="H144" s="83"/>
      <c r="I144" s="83"/>
      <c r="J144" s="83"/>
    </row>
    <row r="145">
      <c r="A145" s="83"/>
      <c r="B145" s="83"/>
      <c r="C145" s="83"/>
      <c r="D145" s="83"/>
      <c r="F145" s="83"/>
      <c r="G145" s="83"/>
      <c r="H145" s="83"/>
      <c r="I145" s="83"/>
      <c r="J145" s="83"/>
    </row>
    <row r="146">
      <c r="A146" s="83"/>
      <c r="B146" s="83"/>
      <c r="C146" s="83"/>
      <c r="D146" s="83"/>
      <c r="F146" s="83"/>
      <c r="G146" s="83"/>
      <c r="H146" s="83"/>
      <c r="I146" s="83"/>
      <c r="J146" s="83"/>
    </row>
    <row r="147">
      <c r="A147" s="83"/>
      <c r="B147" s="83"/>
      <c r="C147" s="83"/>
      <c r="D147" s="83"/>
      <c r="F147" s="83"/>
      <c r="G147" s="83"/>
      <c r="H147" s="83"/>
      <c r="I147" s="83"/>
      <c r="J147" s="83"/>
    </row>
    <row r="148">
      <c r="A148" s="83"/>
      <c r="B148" s="83"/>
      <c r="C148" s="83"/>
      <c r="D148" s="83"/>
      <c r="F148" s="83"/>
      <c r="G148" s="83"/>
      <c r="H148" s="83"/>
      <c r="I148" s="83"/>
      <c r="J148" s="83"/>
    </row>
    <row r="149">
      <c r="A149" s="83"/>
      <c r="B149" s="83"/>
      <c r="C149" s="83"/>
      <c r="D149" s="83"/>
      <c r="F149" s="83"/>
      <c r="G149" s="83"/>
      <c r="H149" s="83"/>
      <c r="I149" s="83"/>
      <c r="J149" s="83"/>
    </row>
    <row r="150">
      <c r="A150" s="83"/>
      <c r="B150" s="83"/>
      <c r="C150" s="83"/>
      <c r="D150" s="83"/>
      <c r="F150" s="83"/>
      <c r="G150" s="83"/>
      <c r="H150" s="83"/>
      <c r="I150" s="83"/>
      <c r="J150" s="83"/>
    </row>
    <row r="151">
      <c r="A151" s="83"/>
      <c r="B151" s="83"/>
      <c r="C151" s="83"/>
      <c r="D151" s="83"/>
      <c r="F151" s="83"/>
      <c r="G151" s="83"/>
      <c r="H151" s="83"/>
      <c r="I151" s="83"/>
      <c r="J151" s="83"/>
    </row>
    <row r="152">
      <c r="A152" s="83"/>
      <c r="B152" s="83"/>
      <c r="C152" s="83"/>
      <c r="D152" s="83"/>
      <c r="F152" s="83"/>
      <c r="G152" s="83"/>
      <c r="H152" s="83"/>
      <c r="I152" s="83"/>
      <c r="J152" s="83"/>
    </row>
    <row r="153">
      <c r="A153" s="83"/>
      <c r="B153" s="83"/>
      <c r="C153" s="83"/>
      <c r="D153" s="83"/>
      <c r="F153" s="83"/>
      <c r="G153" s="83"/>
      <c r="H153" s="83"/>
      <c r="I153" s="83"/>
      <c r="J153" s="83"/>
    </row>
    <row r="154">
      <c r="A154" s="83"/>
      <c r="B154" s="83"/>
      <c r="C154" s="83"/>
      <c r="D154" s="83"/>
      <c r="F154" s="83"/>
      <c r="G154" s="83"/>
      <c r="H154" s="83"/>
      <c r="I154" s="83"/>
      <c r="J154" s="83"/>
    </row>
    <row r="155">
      <c r="A155" s="83"/>
      <c r="B155" s="83"/>
      <c r="C155" s="83"/>
      <c r="D155" s="83"/>
      <c r="F155" s="83"/>
      <c r="G155" s="83"/>
      <c r="H155" s="83"/>
      <c r="I155" s="83"/>
      <c r="J155" s="83"/>
    </row>
    <row r="156">
      <c r="A156" s="83"/>
      <c r="B156" s="83"/>
      <c r="C156" s="83"/>
      <c r="D156" s="83"/>
      <c r="F156" s="83"/>
      <c r="G156" s="83"/>
      <c r="H156" s="83"/>
      <c r="I156" s="83"/>
      <c r="J156" s="83"/>
    </row>
    <row r="157">
      <c r="A157" s="83"/>
      <c r="B157" s="83"/>
      <c r="C157" s="83"/>
      <c r="D157" s="83"/>
      <c r="F157" s="83"/>
      <c r="G157" s="83"/>
      <c r="H157" s="83"/>
      <c r="I157" s="83"/>
      <c r="J157" s="83"/>
    </row>
    <row r="158">
      <c r="A158" s="83"/>
      <c r="B158" s="83"/>
      <c r="C158" s="83"/>
      <c r="D158" s="83"/>
      <c r="F158" s="83"/>
      <c r="G158" s="83"/>
      <c r="H158" s="83"/>
      <c r="I158" s="83"/>
      <c r="J158" s="83"/>
    </row>
    <row r="159">
      <c r="A159" s="83"/>
      <c r="B159" s="83"/>
      <c r="C159" s="83"/>
      <c r="D159" s="83"/>
      <c r="F159" s="83"/>
      <c r="G159" s="83"/>
      <c r="H159" s="83"/>
      <c r="I159" s="83"/>
      <c r="J159" s="83"/>
    </row>
    <row r="160">
      <c r="A160" s="83"/>
      <c r="B160" s="83"/>
      <c r="C160" s="83"/>
      <c r="D160" s="83"/>
      <c r="F160" s="83"/>
      <c r="G160" s="83"/>
      <c r="H160" s="83"/>
      <c r="I160" s="83"/>
      <c r="J160" s="83"/>
    </row>
    <row r="161">
      <c r="A161" s="83"/>
      <c r="B161" s="83"/>
      <c r="C161" s="83"/>
      <c r="D161" s="83"/>
      <c r="F161" s="83"/>
      <c r="G161" s="83"/>
      <c r="H161" s="83"/>
      <c r="I161" s="83"/>
      <c r="J161" s="83"/>
    </row>
    <row r="162">
      <c r="A162" s="83"/>
      <c r="B162" s="83"/>
      <c r="C162" s="83"/>
      <c r="D162" s="83"/>
      <c r="F162" s="83"/>
      <c r="G162" s="83"/>
      <c r="H162" s="83"/>
      <c r="I162" s="83"/>
      <c r="J162" s="83"/>
    </row>
    <row r="163">
      <c r="A163" s="83"/>
      <c r="B163" s="83"/>
      <c r="C163" s="83"/>
      <c r="D163" s="83"/>
      <c r="F163" s="83"/>
      <c r="G163" s="83"/>
      <c r="H163" s="83"/>
      <c r="I163" s="83"/>
      <c r="J163" s="83"/>
    </row>
    <row r="164">
      <c r="A164" s="83"/>
      <c r="B164" s="83"/>
      <c r="C164" s="83"/>
      <c r="D164" s="83"/>
      <c r="F164" s="83"/>
      <c r="G164" s="83"/>
      <c r="H164" s="83"/>
      <c r="I164" s="83"/>
      <c r="J164" s="83"/>
    </row>
    <row r="165">
      <c r="A165" s="83"/>
      <c r="B165" s="83"/>
      <c r="C165" s="83"/>
      <c r="D165" s="83"/>
      <c r="F165" s="83"/>
      <c r="G165" s="83"/>
      <c r="H165" s="83"/>
      <c r="I165" s="83"/>
      <c r="J165" s="83"/>
    </row>
    <row r="166">
      <c r="A166" s="83"/>
      <c r="B166" s="83"/>
      <c r="C166" s="83"/>
      <c r="D166" s="83"/>
      <c r="F166" s="83"/>
      <c r="G166" s="83"/>
      <c r="H166" s="83"/>
      <c r="I166" s="83"/>
      <c r="J166" s="83"/>
    </row>
    <row r="167">
      <c r="A167" s="83"/>
      <c r="B167" s="83"/>
      <c r="C167" s="83"/>
      <c r="D167" s="83"/>
      <c r="F167" s="83"/>
      <c r="G167" s="83"/>
      <c r="H167" s="83"/>
      <c r="I167" s="83"/>
      <c r="J167" s="83"/>
    </row>
    <row r="168">
      <c r="A168" s="83"/>
      <c r="B168" s="83"/>
      <c r="C168" s="83"/>
      <c r="D168" s="83"/>
      <c r="F168" s="83"/>
      <c r="G168" s="83"/>
      <c r="H168" s="83"/>
      <c r="I168" s="83"/>
      <c r="J168" s="83"/>
    </row>
    <row r="169">
      <c r="A169" s="83"/>
      <c r="B169" s="83"/>
      <c r="C169" s="83"/>
      <c r="D169" s="83"/>
      <c r="F169" s="83"/>
      <c r="G169" s="83"/>
      <c r="H169" s="83"/>
      <c r="I169" s="83"/>
      <c r="J169" s="83"/>
    </row>
    <row r="170">
      <c r="A170" s="83"/>
      <c r="B170" s="83"/>
      <c r="C170" s="83"/>
      <c r="D170" s="83"/>
      <c r="F170" s="83"/>
      <c r="G170" s="83"/>
      <c r="H170" s="83"/>
      <c r="I170" s="83"/>
      <c r="J170" s="83"/>
    </row>
    <row r="171">
      <c r="A171" s="83"/>
      <c r="B171" s="83"/>
      <c r="C171" s="83"/>
      <c r="D171" s="83"/>
      <c r="F171" s="83"/>
      <c r="G171" s="83"/>
      <c r="H171" s="83"/>
      <c r="I171" s="83"/>
      <c r="J171" s="83"/>
    </row>
    <row r="172">
      <c r="A172" s="83"/>
      <c r="B172" s="83"/>
      <c r="C172" s="83"/>
      <c r="D172" s="83"/>
      <c r="F172" s="83"/>
      <c r="G172" s="83"/>
      <c r="H172" s="83"/>
      <c r="I172" s="83"/>
      <c r="J172" s="83"/>
    </row>
    <row r="173">
      <c r="A173" s="83"/>
      <c r="B173" s="83"/>
      <c r="C173" s="83"/>
      <c r="D173" s="83"/>
      <c r="F173" s="83"/>
      <c r="G173" s="83"/>
      <c r="H173" s="83"/>
      <c r="I173" s="83"/>
      <c r="J173" s="83"/>
    </row>
    <row r="174">
      <c r="A174" s="83"/>
      <c r="B174" s="83"/>
      <c r="C174" s="83"/>
      <c r="D174" s="83"/>
      <c r="F174" s="83"/>
      <c r="G174" s="83"/>
      <c r="H174" s="83"/>
      <c r="I174" s="83"/>
      <c r="J174" s="83"/>
    </row>
    <row r="175">
      <c r="A175" s="83"/>
      <c r="B175" s="83"/>
      <c r="C175" s="83"/>
      <c r="D175" s="83"/>
      <c r="F175" s="83"/>
      <c r="G175" s="83"/>
      <c r="H175" s="83"/>
      <c r="I175" s="83"/>
      <c r="J175" s="83"/>
    </row>
    <row r="176">
      <c r="A176" s="83"/>
      <c r="B176" s="83"/>
      <c r="C176" s="83"/>
      <c r="D176" s="83"/>
      <c r="F176" s="83"/>
      <c r="G176" s="83"/>
      <c r="H176" s="83"/>
      <c r="I176" s="83"/>
      <c r="J176" s="83"/>
    </row>
    <row r="177">
      <c r="A177" s="83"/>
      <c r="B177" s="83"/>
      <c r="C177" s="83"/>
      <c r="D177" s="83"/>
      <c r="F177" s="83"/>
      <c r="G177" s="83"/>
      <c r="H177" s="83"/>
      <c r="I177" s="83"/>
      <c r="J177" s="83"/>
    </row>
    <row r="178">
      <c r="A178" s="83"/>
      <c r="B178" s="83"/>
      <c r="C178" s="83"/>
      <c r="D178" s="83"/>
      <c r="F178" s="83"/>
      <c r="G178" s="83"/>
      <c r="H178" s="83"/>
      <c r="I178" s="83"/>
      <c r="J178" s="83"/>
    </row>
    <row r="179">
      <c r="A179" s="83"/>
      <c r="B179" s="83"/>
      <c r="C179" s="83"/>
      <c r="D179" s="83"/>
      <c r="F179" s="83"/>
      <c r="G179" s="83"/>
      <c r="H179" s="83"/>
      <c r="I179" s="83"/>
      <c r="J179" s="83"/>
    </row>
    <row r="180">
      <c r="A180" s="83"/>
      <c r="B180" s="83"/>
      <c r="C180" s="83"/>
      <c r="D180" s="83"/>
      <c r="F180" s="83"/>
      <c r="G180" s="83"/>
      <c r="H180" s="83"/>
      <c r="I180" s="83"/>
      <c r="J180" s="83"/>
    </row>
    <row r="181">
      <c r="A181" s="83"/>
      <c r="B181" s="83"/>
      <c r="C181" s="83"/>
      <c r="D181" s="83"/>
      <c r="F181" s="83"/>
      <c r="G181" s="83"/>
      <c r="H181" s="83"/>
      <c r="I181" s="83"/>
      <c r="J181" s="83"/>
    </row>
    <row r="182">
      <c r="A182" s="83"/>
      <c r="B182" s="83"/>
      <c r="C182" s="83"/>
      <c r="D182" s="83"/>
      <c r="F182" s="83"/>
      <c r="G182" s="83"/>
      <c r="H182" s="83"/>
      <c r="I182" s="83"/>
      <c r="J182" s="83"/>
    </row>
    <row r="183">
      <c r="A183" s="83"/>
      <c r="B183" s="83"/>
      <c r="C183" s="83"/>
      <c r="D183" s="83"/>
      <c r="F183" s="83"/>
      <c r="G183" s="83"/>
      <c r="H183" s="83"/>
      <c r="I183" s="83"/>
      <c r="J183" s="83"/>
    </row>
    <row r="184">
      <c r="A184" s="83"/>
      <c r="B184" s="83"/>
      <c r="C184" s="83"/>
      <c r="D184" s="83"/>
      <c r="F184" s="83"/>
      <c r="G184" s="83"/>
      <c r="H184" s="83"/>
      <c r="I184" s="83"/>
      <c r="J184" s="83"/>
    </row>
    <row r="185">
      <c r="A185" s="83"/>
      <c r="B185" s="83"/>
      <c r="C185" s="83"/>
      <c r="D185" s="83"/>
      <c r="F185" s="83"/>
      <c r="G185" s="83"/>
      <c r="H185" s="83"/>
      <c r="I185" s="83"/>
      <c r="J185" s="83"/>
    </row>
    <row r="186">
      <c r="A186" s="83"/>
      <c r="B186" s="83"/>
      <c r="C186" s="83"/>
      <c r="D186" s="83"/>
      <c r="F186" s="83"/>
      <c r="G186" s="83"/>
      <c r="H186" s="83"/>
      <c r="I186" s="83"/>
      <c r="J186" s="83"/>
    </row>
    <row r="187">
      <c r="A187" s="83"/>
      <c r="B187" s="83"/>
      <c r="C187" s="83"/>
      <c r="D187" s="83"/>
      <c r="F187" s="83"/>
      <c r="G187" s="83"/>
      <c r="H187" s="83"/>
      <c r="I187" s="83"/>
      <c r="J187" s="83"/>
    </row>
    <row r="188">
      <c r="A188" s="83"/>
      <c r="B188" s="83"/>
      <c r="C188" s="83"/>
      <c r="D188" s="83"/>
      <c r="F188" s="83"/>
      <c r="G188" s="83"/>
      <c r="H188" s="83"/>
      <c r="I188" s="83"/>
      <c r="J188" s="83"/>
    </row>
    <row r="189">
      <c r="A189" s="83"/>
      <c r="B189" s="83"/>
      <c r="C189" s="83"/>
      <c r="D189" s="83"/>
      <c r="F189" s="83"/>
      <c r="G189" s="83"/>
      <c r="H189" s="83"/>
      <c r="I189" s="83"/>
      <c r="J189" s="83"/>
    </row>
    <row r="190">
      <c r="A190" s="83"/>
      <c r="B190" s="83"/>
      <c r="C190" s="83"/>
      <c r="D190" s="83"/>
      <c r="F190" s="83"/>
      <c r="G190" s="83"/>
      <c r="H190" s="83"/>
      <c r="I190" s="83"/>
      <c r="J190" s="83"/>
    </row>
    <row r="191">
      <c r="A191" s="83"/>
      <c r="B191" s="83"/>
      <c r="C191" s="83"/>
      <c r="D191" s="83"/>
      <c r="F191" s="83"/>
      <c r="G191" s="83"/>
      <c r="H191" s="83"/>
      <c r="I191" s="83"/>
      <c r="J191" s="83"/>
    </row>
    <row r="192">
      <c r="A192" s="83"/>
      <c r="B192" s="83"/>
      <c r="C192" s="83"/>
      <c r="D192" s="83"/>
      <c r="F192" s="83"/>
      <c r="G192" s="83"/>
      <c r="H192" s="83"/>
      <c r="I192" s="83"/>
      <c r="J192" s="83"/>
    </row>
    <row r="193">
      <c r="A193" s="83"/>
      <c r="B193" s="83"/>
      <c r="C193" s="83"/>
      <c r="D193" s="83"/>
      <c r="F193" s="83"/>
      <c r="G193" s="83"/>
      <c r="H193" s="83"/>
      <c r="I193" s="83"/>
      <c r="J193" s="83"/>
    </row>
    <row r="194">
      <c r="A194" s="83"/>
      <c r="B194" s="83"/>
      <c r="C194" s="83"/>
      <c r="D194" s="83"/>
      <c r="F194" s="83"/>
      <c r="G194" s="83"/>
      <c r="H194" s="83"/>
      <c r="I194" s="83"/>
      <c r="J194" s="83"/>
    </row>
    <row r="195">
      <c r="A195" s="83"/>
      <c r="B195" s="83"/>
      <c r="C195" s="83"/>
      <c r="D195" s="83"/>
      <c r="F195" s="83"/>
      <c r="G195" s="83"/>
      <c r="H195" s="83"/>
      <c r="I195" s="83"/>
      <c r="J195" s="83"/>
    </row>
    <row r="196">
      <c r="A196" s="83"/>
      <c r="B196" s="83"/>
      <c r="C196" s="83"/>
      <c r="D196" s="83"/>
      <c r="F196" s="83"/>
      <c r="G196" s="83"/>
      <c r="H196" s="83"/>
      <c r="I196" s="83"/>
      <c r="J196" s="83"/>
    </row>
    <row r="197">
      <c r="A197" s="83"/>
      <c r="B197" s="83"/>
      <c r="C197" s="83"/>
      <c r="D197" s="83"/>
      <c r="F197" s="83"/>
      <c r="G197" s="83"/>
      <c r="H197" s="83"/>
      <c r="I197" s="83"/>
      <c r="J197" s="83"/>
    </row>
    <row r="198">
      <c r="A198" s="83"/>
      <c r="B198" s="83"/>
      <c r="C198" s="83"/>
      <c r="D198" s="83"/>
      <c r="F198" s="83"/>
      <c r="G198" s="83"/>
      <c r="H198" s="83"/>
      <c r="I198" s="83"/>
      <c r="J198" s="83"/>
    </row>
    <row r="199">
      <c r="A199" s="83"/>
      <c r="B199" s="83"/>
      <c r="C199" s="83"/>
      <c r="D199" s="83"/>
      <c r="F199" s="83"/>
      <c r="G199" s="83"/>
      <c r="H199" s="83"/>
      <c r="I199" s="83"/>
      <c r="J199" s="83"/>
    </row>
    <row r="200">
      <c r="A200" s="83"/>
      <c r="B200" s="83"/>
      <c r="C200" s="83"/>
      <c r="D200" s="83"/>
      <c r="F200" s="83"/>
      <c r="G200" s="83"/>
      <c r="H200" s="83"/>
      <c r="I200" s="83"/>
      <c r="J200" s="83"/>
    </row>
    <row r="201">
      <c r="A201" s="83"/>
      <c r="B201" s="83"/>
      <c r="C201" s="83"/>
      <c r="D201" s="83"/>
      <c r="F201" s="83"/>
      <c r="G201" s="83"/>
      <c r="H201" s="83"/>
      <c r="I201" s="83"/>
      <c r="J201" s="83"/>
    </row>
    <row r="202">
      <c r="A202" s="83"/>
      <c r="B202" s="83"/>
      <c r="C202" s="83"/>
      <c r="D202" s="83"/>
      <c r="F202" s="83"/>
      <c r="G202" s="83"/>
      <c r="H202" s="83"/>
      <c r="I202" s="83"/>
      <c r="J202" s="83"/>
    </row>
    <row r="203">
      <c r="A203" s="83"/>
      <c r="B203" s="83"/>
      <c r="C203" s="83"/>
      <c r="D203" s="83"/>
      <c r="F203" s="83"/>
      <c r="G203" s="83"/>
      <c r="H203" s="83"/>
      <c r="I203" s="83"/>
      <c r="J203" s="83"/>
    </row>
    <row r="204">
      <c r="A204" s="83"/>
      <c r="B204" s="83"/>
      <c r="C204" s="83"/>
      <c r="D204" s="83"/>
      <c r="F204" s="83"/>
      <c r="G204" s="83"/>
      <c r="H204" s="83"/>
      <c r="I204" s="83"/>
      <c r="J204" s="83"/>
    </row>
    <row r="205">
      <c r="A205" s="83"/>
      <c r="B205" s="83"/>
      <c r="C205" s="83"/>
      <c r="D205" s="83"/>
      <c r="F205" s="83"/>
      <c r="G205" s="83"/>
      <c r="H205" s="83"/>
      <c r="I205" s="83"/>
      <c r="J205" s="83"/>
    </row>
    <row r="206">
      <c r="A206" s="83"/>
      <c r="B206" s="83"/>
      <c r="C206" s="83"/>
      <c r="D206" s="83"/>
      <c r="F206" s="83"/>
      <c r="G206" s="83"/>
      <c r="H206" s="83"/>
      <c r="I206" s="83"/>
      <c r="J206" s="83"/>
    </row>
    <row r="207">
      <c r="A207" s="83"/>
      <c r="B207" s="83"/>
      <c r="C207" s="83"/>
      <c r="D207" s="83"/>
      <c r="F207" s="83"/>
      <c r="G207" s="83"/>
      <c r="H207" s="83"/>
      <c r="I207" s="83"/>
      <c r="J207" s="83"/>
    </row>
    <row r="208">
      <c r="A208" s="83"/>
      <c r="B208" s="83"/>
      <c r="C208" s="83"/>
      <c r="D208" s="83"/>
      <c r="F208" s="83"/>
      <c r="G208" s="83"/>
      <c r="H208" s="83"/>
      <c r="I208" s="83"/>
      <c r="J208" s="83"/>
    </row>
    <row r="209">
      <c r="A209" s="83"/>
      <c r="B209" s="83"/>
      <c r="C209" s="83"/>
      <c r="D209" s="83"/>
      <c r="F209" s="83"/>
      <c r="G209" s="83"/>
      <c r="H209" s="83"/>
      <c r="I209" s="83"/>
      <c r="J209" s="83"/>
    </row>
    <row r="210">
      <c r="A210" s="83"/>
      <c r="B210" s="83"/>
      <c r="C210" s="83"/>
      <c r="D210" s="83"/>
      <c r="F210" s="83"/>
      <c r="G210" s="83"/>
      <c r="H210" s="83"/>
      <c r="I210" s="83"/>
      <c r="J210" s="83"/>
    </row>
    <row r="211">
      <c r="A211" s="83"/>
      <c r="B211" s="83"/>
      <c r="C211" s="83"/>
      <c r="D211" s="83"/>
      <c r="F211" s="83"/>
      <c r="G211" s="83"/>
      <c r="H211" s="83"/>
      <c r="I211" s="83"/>
      <c r="J211" s="83"/>
    </row>
    <row r="212">
      <c r="A212" s="83"/>
      <c r="B212" s="83"/>
      <c r="C212" s="83"/>
      <c r="D212" s="83"/>
      <c r="F212" s="83"/>
      <c r="G212" s="83"/>
      <c r="H212" s="83"/>
      <c r="I212" s="83"/>
      <c r="J212" s="83"/>
    </row>
    <row r="213">
      <c r="A213" s="83"/>
      <c r="B213" s="83"/>
      <c r="C213" s="83"/>
      <c r="D213" s="83"/>
      <c r="F213" s="83"/>
      <c r="G213" s="83"/>
      <c r="H213" s="83"/>
      <c r="I213" s="83"/>
      <c r="J213" s="83"/>
    </row>
    <row r="214">
      <c r="A214" s="83"/>
      <c r="B214" s="83"/>
      <c r="C214" s="83"/>
      <c r="D214" s="83"/>
      <c r="F214" s="83"/>
      <c r="G214" s="83"/>
      <c r="H214" s="83"/>
      <c r="I214" s="83"/>
      <c r="J214" s="83"/>
    </row>
    <row r="215">
      <c r="A215" s="83"/>
      <c r="B215" s="83"/>
      <c r="C215" s="83"/>
      <c r="D215" s="83"/>
      <c r="F215" s="83"/>
      <c r="G215" s="83"/>
      <c r="H215" s="83"/>
      <c r="I215" s="83"/>
      <c r="J215" s="83"/>
    </row>
    <row r="216">
      <c r="A216" s="83"/>
      <c r="B216" s="83"/>
      <c r="C216" s="83"/>
      <c r="D216" s="83"/>
      <c r="F216" s="83"/>
      <c r="G216" s="83"/>
      <c r="H216" s="83"/>
      <c r="I216" s="83"/>
      <c r="J216" s="83"/>
    </row>
    <row r="217">
      <c r="A217" s="83"/>
      <c r="B217" s="83"/>
      <c r="C217" s="83"/>
      <c r="D217" s="83"/>
      <c r="F217" s="83"/>
      <c r="G217" s="83"/>
      <c r="H217" s="83"/>
      <c r="I217" s="83"/>
      <c r="J217" s="83"/>
    </row>
    <row r="218">
      <c r="A218" s="83"/>
      <c r="B218" s="83"/>
      <c r="C218" s="83"/>
      <c r="D218" s="83"/>
      <c r="F218" s="83"/>
      <c r="G218" s="83"/>
      <c r="H218" s="83"/>
      <c r="I218" s="83"/>
      <c r="J218" s="83"/>
    </row>
    <row r="219">
      <c r="A219" s="83"/>
      <c r="B219" s="83"/>
      <c r="C219" s="83"/>
      <c r="D219" s="83"/>
      <c r="F219" s="83"/>
      <c r="G219" s="83"/>
      <c r="H219" s="83"/>
      <c r="I219" s="83"/>
      <c r="J219" s="83"/>
    </row>
    <row r="220">
      <c r="A220" s="83"/>
      <c r="B220" s="83"/>
      <c r="C220" s="83"/>
      <c r="D220" s="83"/>
      <c r="F220" s="83"/>
      <c r="G220" s="83"/>
      <c r="H220" s="83"/>
      <c r="I220" s="83"/>
      <c r="J220" s="83"/>
    </row>
    <row r="221">
      <c r="A221" s="83"/>
      <c r="B221" s="83"/>
      <c r="C221" s="83"/>
      <c r="D221" s="83"/>
      <c r="F221" s="83"/>
      <c r="G221" s="83"/>
      <c r="H221" s="83"/>
      <c r="I221" s="83"/>
      <c r="J221" s="83"/>
    </row>
    <row r="222">
      <c r="A222" s="83"/>
      <c r="B222" s="83"/>
      <c r="C222" s="83"/>
      <c r="D222" s="83"/>
      <c r="F222" s="83"/>
      <c r="G222" s="83"/>
      <c r="H222" s="83"/>
      <c r="I222" s="83"/>
      <c r="J222" s="83"/>
    </row>
    <row r="223">
      <c r="A223" s="83"/>
      <c r="B223" s="83"/>
      <c r="C223" s="83"/>
      <c r="D223" s="83"/>
      <c r="F223" s="83"/>
      <c r="G223" s="83"/>
      <c r="H223" s="83"/>
      <c r="I223" s="83"/>
      <c r="J223" s="83"/>
    </row>
    <row r="224">
      <c r="A224" s="83"/>
      <c r="B224" s="83"/>
      <c r="C224" s="83"/>
      <c r="D224" s="83"/>
      <c r="F224" s="83"/>
      <c r="G224" s="83"/>
      <c r="H224" s="83"/>
      <c r="I224" s="83"/>
      <c r="J224" s="83"/>
    </row>
    <row r="225">
      <c r="A225" s="83"/>
      <c r="B225" s="83"/>
      <c r="C225" s="83"/>
      <c r="D225" s="83"/>
      <c r="F225" s="83"/>
      <c r="G225" s="83"/>
      <c r="H225" s="83"/>
      <c r="I225" s="83"/>
      <c r="J225" s="83"/>
    </row>
    <row r="226">
      <c r="A226" s="83"/>
      <c r="B226" s="83"/>
      <c r="C226" s="83"/>
      <c r="D226" s="83"/>
      <c r="F226" s="83"/>
      <c r="G226" s="83"/>
      <c r="H226" s="83"/>
      <c r="I226" s="83"/>
      <c r="J226" s="83"/>
    </row>
    <row r="227">
      <c r="A227" s="83"/>
      <c r="B227" s="83"/>
      <c r="C227" s="83"/>
      <c r="D227" s="83"/>
      <c r="F227" s="83"/>
      <c r="G227" s="83"/>
      <c r="H227" s="83"/>
      <c r="I227" s="83"/>
      <c r="J227" s="83"/>
    </row>
    <row r="228">
      <c r="A228" s="83"/>
      <c r="B228" s="83"/>
      <c r="C228" s="83"/>
      <c r="D228" s="83"/>
      <c r="F228" s="83"/>
      <c r="G228" s="83"/>
      <c r="H228" s="83"/>
      <c r="I228" s="83"/>
      <c r="J228" s="83"/>
    </row>
    <row r="229">
      <c r="A229" s="83"/>
      <c r="B229" s="83"/>
      <c r="C229" s="83"/>
      <c r="D229" s="83"/>
      <c r="F229" s="83"/>
      <c r="G229" s="83"/>
      <c r="H229" s="83"/>
      <c r="I229" s="83"/>
      <c r="J229" s="83"/>
    </row>
    <row r="230">
      <c r="A230" s="83"/>
      <c r="B230" s="83"/>
      <c r="C230" s="83"/>
      <c r="D230" s="83"/>
      <c r="F230" s="83"/>
      <c r="G230" s="83"/>
      <c r="H230" s="83"/>
      <c r="I230" s="83"/>
      <c r="J230" s="83"/>
    </row>
    <row r="231">
      <c r="A231" s="83"/>
      <c r="B231" s="83"/>
      <c r="C231" s="83"/>
      <c r="D231" s="83"/>
      <c r="F231" s="83"/>
      <c r="G231" s="83"/>
      <c r="H231" s="83"/>
      <c r="I231" s="83"/>
      <c r="J231" s="83"/>
    </row>
    <row r="232">
      <c r="A232" s="83"/>
      <c r="B232" s="83"/>
      <c r="C232" s="83"/>
      <c r="D232" s="83"/>
      <c r="F232" s="83"/>
      <c r="G232" s="83"/>
      <c r="H232" s="83"/>
      <c r="I232" s="83"/>
      <c r="J232" s="83"/>
    </row>
    <row r="233">
      <c r="A233" s="83"/>
      <c r="B233" s="83"/>
      <c r="C233" s="83"/>
      <c r="D233" s="83"/>
      <c r="F233" s="83"/>
      <c r="G233" s="83"/>
      <c r="H233" s="83"/>
      <c r="I233" s="83"/>
      <c r="J233" s="83"/>
    </row>
    <row r="234">
      <c r="A234" s="83"/>
      <c r="B234" s="83"/>
      <c r="C234" s="83"/>
      <c r="D234" s="83"/>
      <c r="F234" s="83"/>
      <c r="G234" s="83"/>
      <c r="H234" s="83"/>
      <c r="I234" s="83"/>
      <c r="J234" s="83"/>
    </row>
    <row r="235">
      <c r="A235" s="83"/>
      <c r="B235" s="83"/>
      <c r="C235" s="83"/>
      <c r="D235" s="83"/>
      <c r="F235" s="83"/>
      <c r="G235" s="83"/>
      <c r="H235" s="83"/>
      <c r="I235" s="83"/>
      <c r="J235" s="83"/>
    </row>
    <row r="236">
      <c r="A236" s="83"/>
      <c r="B236" s="83"/>
      <c r="C236" s="83"/>
      <c r="D236" s="83"/>
      <c r="F236" s="83"/>
      <c r="G236" s="83"/>
      <c r="H236" s="83"/>
      <c r="I236" s="83"/>
      <c r="J236" s="83"/>
    </row>
    <row r="237">
      <c r="A237" s="83"/>
      <c r="B237" s="83"/>
      <c r="C237" s="83"/>
      <c r="D237" s="83"/>
      <c r="F237" s="83"/>
      <c r="G237" s="83"/>
      <c r="H237" s="83"/>
      <c r="I237" s="83"/>
      <c r="J237" s="83"/>
    </row>
    <row r="238">
      <c r="A238" s="83"/>
      <c r="B238" s="83"/>
      <c r="C238" s="83"/>
      <c r="D238" s="83"/>
      <c r="F238" s="83"/>
      <c r="G238" s="83"/>
      <c r="H238" s="83"/>
      <c r="I238" s="83"/>
      <c r="J238" s="83"/>
    </row>
    <row r="239">
      <c r="A239" s="83"/>
      <c r="B239" s="83"/>
      <c r="C239" s="83"/>
      <c r="D239" s="83"/>
      <c r="F239" s="83"/>
      <c r="G239" s="83"/>
      <c r="H239" s="83"/>
      <c r="I239" s="83"/>
      <c r="J239" s="83"/>
    </row>
    <row r="240">
      <c r="A240" s="83"/>
      <c r="B240" s="83"/>
      <c r="C240" s="83"/>
      <c r="D240" s="83"/>
      <c r="F240" s="83"/>
      <c r="G240" s="83"/>
      <c r="H240" s="83"/>
      <c r="I240" s="83"/>
      <c r="J240" s="83"/>
    </row>
    <row r="241">
      <c r="A241" s="83"/>
      <c r="B241" s="83"/>
      <c r="C241" s="83"/>
      <c r="D241" s="83"/>
      <c r="F241" s="83"/>
      <c r="G241" s="83"/>
      <c r="H241" s="83"/>
      <c r="I241" s="83"/>
      <c r="J241" s="83"/>
    </row>
    <row r="242">
      <c r="A242" s="83"/>
      <c r="B242" s="83"/>
      <c r="C242" s="83"/>
      <c r="D242" s="83"/>
      <c r="F242" s="83"/>
      <c r="G242" s="83"/>
      <c r="H242" s="83"/>
      <c r="I242" s="83"/>
      <c r="J242" s="83"/>
    </row>
    <row r="243">
      <c r="A243" s="83"/>
      <c r="B243" s="83"/>
      <c r="C243" s="83"/>
      <c r="D243" s="83"/>
      <c r="F243" s="83"/>
      <c r="G243" s="83"/>
      <c r="H243" s="83"/>
      <c r="I243" s="83"/>
      <c r="J243" s="83"/>
    </row>
    <row r="244">
      <c r="A244" s="83"/>
      <c r="B244" s="83"/>
      <c r="C244" s="83"/>
      <c r="D244" s="83"/>
      <c r="F244" s="83"/>
      <c r="G244" s="83"/>
      <c r="H244" s="83"/>
      <c r="I244" s="83"/>
      <c r="J244" s="83"/>
    </row>
    <row r="245">
      <c r="A245" s="83"/>
      <c r="B245" s="83"/>
      <c r="C245" s="83"/>
      <c r="D245" s="83"/>
      <c r="F245" s="83"/>
      <c r="G245" s="83"/>
      <c r="H245" s="83"/>
      <c r="I245" s="83"/>
      <c r="J245" s="83"/>
    </row>
    <row r="246">
      <c r="A246" s="83"/>
      <c r="B246" s="83"/>
      <c r="C246" s="83"/>
      <c r="D246" s="83"/>
      <c r="F246" s="83"/>
      <c r="G246" s="83"/>
      <c r="H246" s="83"/>
      <c r="I246" s="83"/>
      <c r="J246" s="83"/>
    </row>
    <row r="247">
      <c r="A247" s="83"/>
      <c r="B247" s="83"/>
      <c r="C247" s="83"/>
      <c r="D247" s="83"/>
      <c r="F247" s="83"/>
      <c r="G247" s="83"/>
      <c r="H247" s="83"/>
      <c r="I247" s="83"/>
      <c r="J247" s="83"/>
    </row>
    <row r="248">
      <c r="A248" s="83"/>
      <c r="B248" s="83"/>
      <c r="C248" s="83"/>
      <c r="D248" s="83"/>
      <c r="F248" s="83"/>
      <c r="G248" s="83"/>
      <c r="H248" s="83"/>
      <c r="I248" s="83"/>
      <c r="J248" s="83"/>
    </row>
    <row r="249">
      <c r="A249" s="83"/>
      <c r="B249" s="83"/>
      <c r="C249" s="83"/>
      <c r="D249" s="83"/>
      <c r="F249" s="83"/>
      <c r="G249" s="83"/>
      <c r="H249" s="83"/>
      <c r="I249" s="83"/>
      <c r="J249" s="83"/>
    </row>
    <row r="250">
      <c r="A250" s="83"/>
      <c r="B250" s="83"/>
      <c r="C250" s="83"/>
      <c r="D250" s="83"/>
      <c r="F250" s="83"/>
      <c r="G250" s="83"/>
      <c r="H250" s="83"/>
      <c r="I250" s="83"/>
      <c r="J250" s="83"/>
    </row>
    <row r="251">
      <c r="A251" s="83"/>
      <c r="B251" s="83"/>
      <c r="C251" s="83"/>
      <c r="D251" s="83"/>
      <c r="F251" s="83"/>
      <c r="G251" s="83"/>
      <c r="H251" s="83"/>
      <c r="I251" s="83"/>
      <c r="J251" s="83"/>
    </row>
    <row r="252">
      <c r="A252" s="83"/>
      <c r="B252" s="83"/>
      <c r="C252" s="83"/>
      <c r="D252" s="83"/>
      <c r="F252" s="83"/>
      <c r="G252" s="83"/>
      <c r="H252" s="83"/>
      <c r="I252" s="83"/>
      <c r="J252" s="83"/>
    </row>
    <row r="253">
      <c r="A253" s="83"/>
      <c r="B253" s="83"/>
      <c r="C253" s="83"/>
      <c r="D253" s="83"/>
      <c r="F253" s="83"/>
      <c r="G253" s="83"/>
      <c r="H253" s="83"/>
      <c r="I253" s="83"/>
      <c r="J253" s="83"/>
    </row>
    <row r="254">
      <c r="A254" s="83"/>
      <c r="B254" s="83"/>
      <c r="C254" s="83"/>
      <c r="D254" s="83"/>
      <c r="F254" s="83"/>
      <c r="G254" s="83"/>
      <c r="H254" s="83"/>
      <c r="I254" s="83"/>
      <c r="J254" s="83"/>
    </row>
    <row r="255">
      <c r="A255" s="83"/>
      <c r="B255" s="83"/>
      <c r="C255" s="83"/>
      <c r="D255" s="83"/>
      <c r="F255" s="83"/>
      <c r="G255" s="83"/>
      <c r="H255" s="83"/>
      <c r="I255" s="83"/>
      <c r="J255" s="83"/>
    </row>
    <row r="256">
      <c r="A256" s="83"/>
      <c r="B256" s="83"/>
      <c r="C256" s="83"/>
      <c r="D256" s="83"/>
      <c r="F256" s="83"/>
      <c r="G256" s="83"/>
      <c r="H256" s="83"/>
      <c r="I256" s="83"/>
      <c r="J256" s="83"/>
    </row>
    <row r="257">
      <c r="A257" s="83"/>
      <c r="B257" s="83"/>
      <c r="C257" s="83"/>
      <c r="D257" s="83"/>
      <c r="F257" s="83"/>
      <c r="G257" s="83"/>
      <c r="H257" s="83"/>
      <c r="I257" s="83"/>
      <c r="J257" s="83"/>
    </row>
    <row r="258">
      <c r="A258" s="83"/>
      <c r="B258" s="83"/>
      <c r="C258" s="83"/>
      <c r="D258" s="83"/>
      <c r="F258" s="83"/>
      <c r="G258" s="83"/>
      <c r="H258" s="83"/>
      <c r="I258" s="83"/>
      <c r="J258" s="83"/>
    </row>
    <row r="259">
      <c r="A259" s="83"/>
      <c r="B259" s="83"/>
      <c r="C259" s="83"/>
      <c r="D259" s="83"/>
      <c r="F259" s="83"/>
      <c r="G259" s="83"/>
      <c r="H259" s="83"/>
      <c r="I259" s="83"/>
      <c r="J259" s="83"/>
    </row>
    <row r="260">
      <c r="A260" s="83"/>
      <c r="B260" s="83"/>
      <c r="C260" s="83"/>
      <c r="D260" s="83"/>
      <c r="F260" s="83"/>
      <c r="G260" s="83"/>
      <c r="H260" s="83"/>
      <c r="I260" s="83"/>
      <c r="J260" s="83"/>
    </row>
    <row r="261">
      <c r="A261" s="83"/>
      <c r="B261" s="83"/>
      <c r="C261" s="83"/>
      <c r="D261" s="83"/>
      <c r="F261" s="83"/>
      <c r="G261" s="83"/>
      <c r="H261" s="83"/>
      <c r="I261" s="83"/>
      <c r="J261" s="83"/>
    </row>
    <row r="262">
      <c r="A262" s="83"/>
      <c r="B262" s="83"/>
      <c r="C262" s="83"/>
      <c r="D262" s="83"/>
      <c r="F262" s="83"/>
      <c r="G262" s="83"/>
      <c r="H262" s="83"/>
      <c r="I262" s="83"/>
      <c r="J262" s="83"/>
    </row>
    <row r="263">
      <c r="A263" s="83"/>
      <c r="B263" s="83"/>
      <c r="C263" s="83"/>
      <c r="D263" s="83"/>
      <c r="F263" s="83"/>
      <c r="G263" s="83"/>
      <c r="H263" s="83"/>
      <c r="I263" s="83"/>
      <c r="J263" s="83"/>
    </row>
    <row r="264">
      <c r="A264" s="83"/>
      <c r="B264" s="83"/>
      <c r="C264" s="83"/>
      <c r="D264" s="83"/>
      <c r="F264" s="83"/>
      <c r="G264" s="83"/>
      <c r="H264" s="83"/>
      <c r="I264" s="83"/>
      <c r="J264" s="83"/>
    </row>
    <row r="265">
      <c r="A265" s="83"/>
      <c r="B265" s="83"/>
      <c r="C265" s="83"/>
      <c r="D265" s="83"/>
      <c r="F265" s="83"/>
      <c r="G265" s="83"/>
      <c r="H265" s="83"/>
      <c r="I265" s="83"/>
      <c r="J265" s="83"/>
    </row>
    <row r="266">
      <c r="A266" s="83"/>
      <c r="B266" s="83"/>
      <c r="C266" s="83"/>
      <c r="D266" s="83"/>
      <c r="F266" s="83"/>
      <c r="G266" s="83"/>
      <c r="H266" s="83"/>
      <c r="I266" s="83"/>
      <c r="J266" s="83"/>
    </row>
    <row r="267">
      <c r="A267" s="83"/>
      <c r="B267" s="83"/>
      <c r="C267" s="83"/>
      <c r="D267" s="83"/>
      <c r="F267" s="83"/>
      <c r="G267" s="83"/>
      <c r="H267" s="83"/>
      <c r="I267" s="83"/>
      <c r="J267" s="83"/>
    </row>
    <row r="268">
      <c r="A268" s="83"/>
      <c r="B268" s="83"/>
      <c r="C268" s="83"/>
      <c r="D268" s="83"/>
      <c r="F268" s="83"/>
      <c r="G268" s="83"/>
      <c r="H268" s="83"/>
      <c r="I268" s="83"/>
      <c r="J268" s="83"/>
    </row>
    <row r="269">
      <c r="A269" s="83"/>
      <c r="B269" s="83"/>
      <c r="C269" s="83"/>
      <c r="D269" s="83"/>
      <c r="F269" s="83"/>
      <c r="G269" s="83"/>
      <c r="H269" s="83"/>
      <c r="I269" s="83"/>
      <c r="J269" s="83"/>
    </row>
    <row r="270">
      <c r="A270" s="83"/>
      <c r="B270" s="83"/>
      <c r="C270" s="83"/>
      <c r="D270" s="83"/>
      <c r="F270" s="83"/>
      <c r="G270" s="83"/>
      <c r="H270" s="83"/>
      <c r="I270" s="83"/>
      <c r="J270" s="83"/>
    </row>
    <row r="271">
      <c r="A271" s="83"/>
      <c r="B271" s="83"/>
      <c r="C271" s="83"/>
      <c r="D271" s="83"/>
      <c r="F271" s="83"/>
      <c r="G271" s="83"/>
      <c r="H271" s="83"/>
      <c r="I271" s="83"/>
      <c r="J271" s="83"/>
    </row>
    <row r="272">
      <c r="A272" s="83"/>
      <c r="B272" s="83"/>
      <c r="C272" s="83"/>
      <c r="D272" s="83"/>
      <c r="F272" s="83"/>
      <c r="G272" s="83"/>
      <c r="H272" s="83"/>
      <c r="I272" s="83"/>
      <c r="J272" s="83"/>
    </row>
    <row r="273">
      <c r="A273" s="83"/>
      <c r="B273" s="83"/>
      <c r="C273" s="83"/>
      <c r="D273" s="83"/>
      <c r="F273" s="83"/>
      <c r="G273" s="83"/>
      <c r="H273" s="83"/>
      <c r="I273" s="83"/>
      <c r="J273" s="83"/>
    </row>
    <row r="274">
      <c r="A274" s="83"/>
      <c r="B274" s="83"/>
      <c r="C274" s="83"/>
      <c r="D274" s="83"/>
      <c r="F274" s="83"/>
      <c r="G274" s="83"/>
      <c r="H274" s="83"/>
      <c r="I274" s="83"/>
      <c r="J274" s="83"/>
    </row>
    <row r="275">
      <c r="A275" s="83"/>
      <c r="B275" s="83"/>
      <c r="C275" s="83"/>
      <c r="D275" s="83"/>
      <c r="F275" s="83"/>
      <c r="G275" s="83"/>
      <c r="H275" s="83"/>
      <c r="I275" s="83"/>
      <c r="J275" s="83"/>
    </row>
    <row r="276">
      <c r="A276" s="83"/>
      <c r="B276" s="83"/>
      <c r="C276" s="83"/>
      <c r="D276" s="83"/>
      <c r="F276" s="83"/>
      <c r="G276" s="83"/>
      <c r="H276" s="83"/>
      <c r="I276" s="83"/>
      <c r="J276" s="83"/>
    </row>
    <row r="277">
      <c r="A277" s="83"/>
      <c r="B277" s="83"/>
      <c r="C277" s="83"/>
      <c r="D277" s="83"/>
      <c r="F277" s="83"/>
      <c r="G277" s="83"/>
      <c r="H277" s="83"/>
      <c r="I277" s="83"/>
      <c r="J277" s="83"/>
    </row>
    <row r="278">
      <c r="A278" s="83"/>
      <c r="B278" s="83"/>
      <c r="C278" s="83"/>
      <c r="D278" s="83"/>
      <c r="F278" s="83"/>
      <c r="G278" s="83"/>
      <c r="H278" s="83"/>
      <c r="I278" s="83"/>
      <c r="J278" s="83"/>
    </row>
    <row r="279">
      <c r="A279" s="83"/>
      <c r="B279" s="83"/>
      <c r="C279" s="83"/>
      <c r="D279" s="83"/>
      <c r="F279" s="83"/>
      <c r="G279" s="83"/>
      <c r="H279" s="83"/>
      <c r="I279" s="83"/>
      <c r="J279" s="83"/>
    </row>
    <row r="280">
      <c r="A280" s="83"/>
      <c r="B280" s="83"/>
      <c r="C280" s="83"/>
      <c r="D280" s="83"/>
      <c r="F280" s="83"/>
      <c r="G280" s="83"/>
      <c r="H280" s="83"/>
      <c r="I280" s="83"/>
      <c r="J280" s="83"/>
    </row>
    <row r="281">
      <c r="A281" s="83"/>
      <c r="B281" s="83"/>
      <c r="C281" s="83"/>
      <c r="D281" s="83"/>
      <c r="F281" s="83"/>
      <c r="G281" s="83"/>
      <c r="H281" s="83"/>
      <c r="I281" s="83"/>
      <c r="J281" s="83"/>
    </row>
    <row r="282">
      <c r="A282" s="83"/>
      <c r="B282" s="83"/>
      <c r="C282" s="83"/>
      <c r="D282" s="83"/>
      <c r="F282" s="83"/>
      <c r="G282" s="83"/>
      <c r="H282" s="83"/>
      <c r="I282" s="83"/>
      <c r="J282" s="83"/>
    </row>
    <row r="283">
      <c r="A283" s="83"/>
      <c r="B283" s="83"/>
      <c r="C283" s="83"/>
      <c r="D283" s="83"/>
      <c r="F283" s="83"/>
      <c r="G283" s="83"/>
      <c r="H283" s="83"/>
      <c r="I283" s="83"/>
      <c r="J283" s="83"/>
    </row>
    <row r="284">
      <c r="A284" s="83"/>
      <c r="B284" s="83"/>
      <c r="C284" s="83"/>
      <c r="D284" s="83"/>
      <c r="F284" s="83"/>
      <c r="G284" s="83"/>
      <c r="H284" s="83"/>
      <c r="I284" s="83"/>
      <c r="J284" s="83"/>
    </row>
    <row r="285">
      <c r="A285" s="83"/>
      <c r="B285" s="83"/>
      <c r="C285" s="83"/>
      <c r="D285" s="83"/>
      <c r="F285" s="83"/>
      <c r="G285" s="83"/>
      <c r="H285" s="83"/>
      <c r="I285" s="83"/>
      <c r="J285" s="83"/>
    </row>
    <row r="286">
      <c r="A286" s="83"/>
      <c r="B286" s="83"/>
      <c r="C286" s="83"/>
      <c r="D286" s="83"/>
      <c r="F286" s="83"/>
      <c r="G286" s="83"/>
      <c r="H286" s="83"/>
      <c r="I286" s="83"/>
      <c r="J286" s="83"/>
    </row>
    <row r="287">
      <c r="A287" s="83"/>
      <c r="B287" s="83"/>
      <c r="C287" s="83"/>
      <c r="D287" s="83"/>
      <c r="F287" s="83"/>
      <c r="G287" s="83"/>
      <c r="H287" s="83"/>
      <c r="I287" s="83"/>
      <c r="J287" s="83"/>
    </row>
    <row r="288">
      <c r="A288" s="83"/>
      <c r="B288" s="83"/>
      <c r="C288" s="83"/>
      <c r="D288" s="83"/>
      <c r="F288" s="83"/>
      <c r="G288" s="83"/>
      <c r="H288" s="83"/>
      <c r="I288" s="83"/>
      <c r="J288" s="83"/>
    </row>
    <row r="289">
      <c r="A289" s="83"/>
      <c r="B289" s="83"/>
      <c r="C289" s="83"/>
      <c r="D289" s="83"/>
      <c r="F289" s="83"/>
      <c r="G289" s="83"/>
      <c r="H289" s="83"/>
      <c r="I289" s="83"/>
      <c r="J289" s="83"/>
    </row>
    <row r="290">
      <c r="A290" s="83"/>
      <c r="B290" s="83"/>
      <c r="C290" s="83"/>
      <c r="D290" s="83"/>
      <c r="F290" s="83"/>
      <c r="G290" s="83"/>
      <c r="H290" s="83"/>
      <c r="I290" s="83"/>
      <c r="J290" s="83"/>
    </row>
    <row r="291">
      <c r="A291" s="83"/>
      <c r="B291" s="83"/>
      <c r="C291" s="83"/>
      <c r="D291" s="83"/>
      <c r="F291" s="83"/>
      <c r="G291" s="83"/>
      <c r="H291" s="83"/>
      <c r="I291" s="83"/>
      <c r="J291" s="83"/>
    </row>
    <row r="292">
      <c r="A292" s="83"/>
      <c r="B292" s="83"/>
      <c r="C292" s="83"/>
      <c r="D292" s="83"/>
      <c r="F292" s="83"/>
      <c r="G292" s="83"/>
      <c r="H292" s="83"/>
      <c r="I292" s="83"/>
      <c r="J292" s="83"/>
    </row>
    <row r="293">
      <c r="A293" s="83"/>
      <c r="B293" s="83"/>
      <c r="C293" s="83"/>
      <c r="D293" s="83"/>
      <c r="F293" s="83"/>
      <c r="G293" s="83"/>
      <c r="H293" s="83"/>
      <c r="I293" s="83"/>
      <c r="J293" s="83"/>
    </row>
    <row r="294">
      <c r="A294" s="83"/>
      <c r="B294" s="83"/>
      <c r="C294" s="83"/>
      <c r="D294" s="83"/>
      <c r="F294" s="83"/>
      <c r="G294" s="83"/>
      <c r="H294" s="83"/>
      <c r="I294" s="83"/>
      <c r="J294" s="83"/>
    </row>
    <row r="295">
      <c r="A295" s="83"/>
      <c r="B295" s="83"/>
      <c r="C295" s="83"/>
      <c r="D295" s="83"/>
      <c r="F295" s="83"/>
      <c r="G295" s="83"/>
      <c r="H295" s="83"/>
      <c r="I295" s="83"/>
      <c r="J295" s="83"/>
    </row>
    <row r="296">
      <c r="A296" s="83"/>
      <c r="B296" s="83"/>
      <c r="C296" s="83"/>
      <c r="D296" s="83"/>
      <c r="F296" s="83"/>
      <c r="G296" s="83"/>
      <c r="H296" s="83"/>
      <c r="I296" s="83"/>
      <c r="J296" s="83"/>
    </row>
    <row r="297">
      <c r="A297" s="83"/>
      <c r="B297" s="83"/>
      <c r="C297" s="83"/>
      <c r="D297" s="83"/>
      <c r="F297" s="83"/>
      <c r="G297" s="83"/>
      <c r="H297" s="83"/>
      <c r="I297" s="83"/>
      <c r="J297" s="83"/>
    </row>
    <row r="298">
      <c r="A298" s="83"/>
      <c r="B298" s="83"/>
      <c r="C298" s="83"/>
      <c r="D298" s="83"/>
      <c r="F298" s="83"/>
      <c r="G298" s="83"/>
      <c r="H298" s="83"/>
      <c r="I298" s="83"/>
      <c r="J298" s="83"/>
    </row>
    <row r="299">
      <c r="A299" s="83"/>
      <c r="B299" s="83"/>
      <c r="C299" s="83"/>
      <c r="D299" s="83"/>
      <c r="F299" s="83"/>
      <c r="G299" s="83"/>
      <c r="H299" s="83"/>
      <c r="I299" s="83"/>
      <c r="J299" s="83"/>
    </row>
    <row r="300">
      <c r="A300" s="83"/>
      <c r="B300" s="83"/>
      <c r="C300" s="83"/>
      <c r="D300" s="83"/>
      <c r="F300" s="83"/>
      <c r="G300" s="83"/>
      <c r="H300" s="83"/>
      <c r="I300" s="83"/>
      <c r="J300" s="83"/>
    </row>
    <row r="301">
      <c r="A301" s="83"/>
      <c r="B301" s="83"/>
      <c r="C301" s="83"/>
      <c r="D301" s="83"/>
      <c r="F301" s="83"/>
      <c r="G301" s="83"/>
      <c r="H301" s="83"/>
      <c r="I301" s="83"/>
      <c r="J301" s="83"/>
    </row>
    <row r="302">
      <c r="A302" s="83"/>
      <c r="B302" s="83"/>
      <c r="C302" s="83"/>
      <c r="D302" s="83"/>
      <c r="F302" s="83"/>
      <c r="G302" s="83"/>
      <c r="H302" s="83"/>
      <c r="I302" s="83"/>
      <c r="J302" s="83"/>
    </row>
    <row r="303">
      <c r="A303" s="83"/>
      <c r="B303" s="83"/>
      <c r="C303" s="83"/>
      <c r="D303" s="83"/>
      <c r="F303" s="83"/>
      <c r="G303" s="83"/>
      <c r="H303" s="83"/>
      <c r="I303" s="83"/>
      <c r="J303" s="83"/>
    </row>
    <row r="304">
      <c r="A304" s="83"/>
      <c r="B304" s="83"/>
      <c r="C304" s="83"/>
      <c r="D304" s="83"/>
      <c r="F304" s="83"/>
      <c r="G304" s="83"/>
      <c r="H304" s="83"/>
      <c r="I304" s="83"/>
      <c r="J304" s="83"/>
    </row>
    <row r="305">
      <c r="A305" s="83"/>
      <c r="B305" s="83"/>
      <c r="C305" s="83"/>
      <c r="D305" s="83"/>
      <c r="F305" s="83"/>
      <c r="G305" s="83"/>
      <c r="H305" s="83"/>
      <c r="I305" s="83"/>
      <c r="J305" s="83"/>
    </row>
    <row r="306">
      <c r="A306" s="83"/>
      <c r="B306" s="83"/>
      <c r="C306" s="83"/>
      <c r="D306" s="83"/>
      <c r="F306" s="83"/>
      <c r="G306" s="83"/>
      <c r="H306" s="83"/>
      <c r="I306" s="83"/>
      <c r="J306" s="83"/>
    </row>
    <row r="307">
      <c r="A307" s="83"/>
      <c r="B307" s="83"/>
      <c r="C307" s="83"/>
      <c r="D307" s="83"/>
      <c r="F307" s="83"/>
      <c r="G307" s="83"/>
      <c r="H307" s="83"/>
      <c r="I307" s="83"/>
      <c r="J307" s="83"/>
    </row>
    <row r="308">
      <c r="A308" s="83"/>
      <c r="B308" s="83"/>
      <c r="C308" s="83"/>
      <c r="D308" s="83"/>
      <c r="F308" s="83"/>
      <c r="G308" s="83"/>
      <c r="H308" s="83"/>
      <c r="I308" s="83"/>
      <c r="J308" s="83"/>
    </row>
    <row r="309">
      <c r="A309" s="83"/>
      <c r="B309" s="83"/>
      <c r="C309" s="83"/>
      <c r="D309" s="83"/>
      <c r="F309" s="83"/>
      <c r="G309" s="83"/>
      <c r="H309" s="83"/>
      <c r="I309" s="83"/>
      <c r="J309" s="83"/>
    </row>
    <row r="310">
      <c r="A310" s="83"/>
      <c r="B310" s="83"/>
      <c r="C310" s="83"/>
      <c r="D310" s="83"/>
      <c r="F310" s="83"/>
      <c r="G310" s="83"/>
      <c r="H310" s="83"/>
      <c r="I310" s="83"/>
      <c r="J310" s="83"/>
    </row>
    <row r="311">
      <c r="A311" s="83"/>
      <c r="B311" s="83"/>
      <c r="C311" s="83"/>
      <c r="D311" s="83"/>
      <c r="F311" s="83"/>
      <c r="G311" s="83"/>
      <c r="H311" s="83"/>
      <c r="I311" s="83"/>
      <c r="J311" s="83"/>
    </row>
    <row r="312">
      <c r="A312" s="83"/>
      <c r="B312" s="83"/>
      <c r="C312" s="83"/>
      <c r="D312" s="83"/>
      <c r="F312" s="83"/>
      <c r="G312" s="83"/>
      <c r="H312" s="83"/>
      <c r="I312" s="83"/>
      <c r="J312" s="83"/>
    </row>
    <row r="313">
      <c r="A313" s="83"/>
      <c r="B313" s="83"/>
      <c r="C313" s="83"/>
      <c r="D313" s="83"/>
      <c r="F313" s="83"/>
      <c r="G313" s="83"/>
      <c r="H313" s="83"/>
      <c r="I313" s="83"/>
      <c r="J313" s="83"/>
    </row>
    <row r="314">
      <c r="A314" s="83"/>
      <c r="B314" s="83"/>
      <c r="C314" s="83"/>
      <c r="D314" s="83"/>
      <c r="F314" s="83"/>
      <c r="G314" s="83"/>
      <c r="H314" s="83"/>
      <c r="I314" s="83"/>
      <c r="J314" s="83"/>
    </row>
    <row r="315">
      <c r="A315" s="83"/>
      <c r="B315" s="83"/>
      <c r="C315" s="83"/>
      <c r="D315" s="83"/>
      <c r="F315" s="83"/>
      <c r="G315" s="83"/>
      <c r="H315" s="83"/>
      <c r="I315" s="83"/>
      <c r="J315" s="83"/>
    </row>
    <row r="316">
      <c r="A316" s="83"/>
      <c r="B316" s="83"/>
      <c r="C316" s="83"/>
      <c r="D316" s="83"/>
      <c r="F316" s="83"/>
      <c r="G316" s="83"/>
      <c r="H316" s="83"/>
      <c r="I316" s="83"/>
      <c r="J316" s="83"/>
    </row>
    <row r="317">
      <c r="A317" s="83"/>
      <c r="B317" s="83"/>
      <c r="C317" s="83"/>
      <c r="D317" s="83"/>
      <c r="F317" s="83"/>
      <c r="G317" s="83"/>
      <c r="H317" s="83"/>
      <c r="I317" s="83"/>
      <c r="J317" s="83"/>
    </row>
    <row r="318">
      <c r="A318" s="83"/>
      <c r="B318" s="83"/>
      <c r="C318" s="83"/>
      <c r="D318" s="83"/>
      <c r="F318" s="83"/>
      <c r="G318" s="83"/>
      <c r="H318" s="83"/>
      <c r="I318" s="83"/>
      <c r="J318" s="83"/>
    </row>
    <row r="319">
      <c r="A319" s="83"/>
      <c r="B319" s="83"/>
      <c r="C319" s="83"/>
      <c r="D319" s="83"/>
      <c r="F319" s="83"/>
      <c r="G319" s="83"/>
      <c r="H319" s="83"/>
      <c r="I319" s="83"/>
      <c r="J319" s="83"/>
    </row>
    <row r="320">
      <c r="A320" s="83"/>
      <c r="B320" s="83"/>
      <c r="C320" s="83"/>
      <c r="D320" s="83"/>
      <c r="F320" s="83"/>
      <c r="G320" s="83"/>
      <c r="H320" s="83"/>
      <c r="I320" s="83"/>
      <c r="J320" s="83"/>
    </row>
    <row r="321">
      <c r="A321" s="83"/>
      <c r="B321" s="83"/>
      <c r="C321" s="83"/>
      <c r="D321" s="83"/>
      <c r="F321" s="83"/>
      <c r="G321" s="83"/>
      <c r="H321" s="83"/>
      <c r="I321" s="83"/>
      <c r="J321" s="83"/>
    </row>
    <row r="322">
      <c r="A322" s="83"/>
      <c r="B322" s="83"/>
      <c r="C322" s="83"/>
      <c r="D322" s="83"/>
      <c r="F322" s="83"/>
      <c r="G322" s="83"/>
      <c r="H322" s="83"/>
      <c r="I322" s="83"/>
      <c r="J322" s="83"/>
    </row>
    <row r="323">
      <c r="A323" s="83"/>
      <c r="B323" s="83"/>
      <c r="C323" s="83"/>
      <c r="D323" s="83"/>
      <c r="F323" s="83"/>
      <c r="G323" s="83"/>
      <c r="H323" s="83"/>
      <c r="I323" s="83"/>
      <c r="J323" s="83"/>
    </row>
    <row r="324">
      <c r="A324" s="83"/>
      <c r="B324" s="83"/>
      <c r="C324" s="83"/>
      <c r="D324" s="83"/>
      <c r="F324" s="83"/>
      <c r="G324" s="83"/>
      <c r="H324" s="83"/>
      <c r="I324" s="83"/>
      <c r="J324" s="83"/>
    </row>
    <row r="325">
      <c r="A325" s="83"/>
      <c r="B325" s="83"/>
      <c r="C325" s="83"/>
      <c r="D325" s="83"/>
      <c r="F325" s="83"/>
      <c r="G325" s="83"/>
      <c r="H325" s="83"/>
      <c r="I325" s="83"/>
      <c r="J325" s="83"/>
    </row>
    <row r="326">
      <c r="A326" s="83"/>
      <c r="B326" s="83"/>
      <c r="C326" s="83"/>
      <c r="D326" s="83"/>
      <c r="F326" s="83"/>
      <c r="G326" s="83"/>
      <c r="H326" s="83"/>
      <c r="I326" s="83"/>
      <c r="J326" s="83"/>
    </row>
    <row r="327">
      <c r="A327" s="83"/>
      <c r="B327" s="83"/>
      <c r="C327" s="83"/>
      <c r="D327" s="83"/>
      <c r="F327" s="83"/>
      <c r="G327" s="83"/>
      <c r="H327" s="83"/>
      <c r="I327" s="83"/>
      <c r="J327" s="83"/>
    </row>
    <row r="328">
      <c r="A328" s="83"/>
      <c r="B328" s="83"/>
      <c r="C328" s="83"/>
      <c r="D328" s="83"/>
      <c r="F328" s="83"/>
      <c r="G328" s="83"/>
      <c r="H328" s="83"/>
      <c r="I328" s="83"/>
      <c r="J328" s="83"/>
    </row>
    <row r="329">
      <c r="A329" s="83"/>
      <c r="B329" s="83"/>
      <c r="C329" s="83"/>
      <c r="D329" s="83"/>
      <c r="F329" s="83"/>
      <c r="G329" s="83"/>
      <c r="H329" s="83"/>
      <c r="I329" s="83"/>
      <c r="J329" s="83"/>
    </row>
    <row r="330">
      <c r="A330" s="83"/>
      <c r="B330" s="83"/>
      <c r="C330" s="83"/>
      <c r="D330" s="83"/>
      <c r="F330" s="83"/>
      <c r="G330" s="83"/>
      <c r="H330" s="83"/>
      <c r="I330" s="83"/>
      <c r="J330" s="83"/>
    </row>
    <row r="331">
      <c r="A331" s="83"/>
      <c r="B331" s="83"/>
      <c r="C331" s="83"/>
      <c r="D331" s="83"/>
      <c r="F331" s="83"/>
      <c r="G331" s="83"/>
      <c r="H331" s="83"/>
      <c r="I331" s="83"/>
      <c r="J331" s="83"/>
    </row>
    <row r="332">
      <c r="A332" s="83"/>
      <c r="B332" s="83"/>
      <c r="C332" s="83"/>
      <c r="D332" s="83"/>
      <c r="F332" s="83"/>
      <c r="G332" s="83"/>
      <c r="H332" s="83"/>
      <c r="I332" s="83"/>
      <c r="J332" s="83"/>
    </row>
    <row r="333">
      <c r="A333" s="83"/>
      <c r="B333" s="83"/>
      <c r="C333" s="83"/>
      <c r="D333" s="83"/>
      <c r="F333" s="83"/>
      <c r="G333" s="83"/>
      <c r="H333" s="83"/>
      <c r="I333" s="83"/>
      <c r="J333" s="83"/>
    </row>
    <row r="334">
      <c r="A334" s="83"/>
      <c r="B334" s="83"/>
      <c r="C334" s="83"/>
      <c r="D334" s="83"/>
      <c r="F334" s="83"/>
      <c r="G334" s="83"/>
      <c r="H334" s="83"/>
      <c r="I334" s="83"/>
      <c r="J334" s="83"/>
    </row>
    <row r="335">
      <c r="A335" s="83"/>
      <c r="B335" s="83"/>
      <c r="C335" s="83"/>
      <c r="D335" s="83"/>
      <c r="F335" s="83"/>
      <c r="G335" s="83"/>
      <c r="H335" s="83"/>
      <c r="I335" s="83"/>
      <c r="J335" s="83"/>
    </row>
    <row r="336">
      <c r="A336" s="83"/>
      <c r="B336" s="83"/>
      <c r="C336" s="83"/>
      <c r="D336" s="83"/>
      <c r="F336" s="83"/>
      <c r="G336" s="83"/>
      <c r="H336" s="83"/>
      <c r="I336" s="83"/>
      <c r="J336" s="83"/>
    </row>
    <row r="337">
      <c r="A337" s="83"/>
      <c r="B337" s="83"/>
      <c r="C337" s="83"/>
      <c r="D337" s="83"/>
      <c r="F337" s="83"/>
      <c r="G337" s="83"/>
      <c r="H337" s="83"/>
      <c r="I337" s="83"/>
      <c r="J337" s="83"/>
    </row>
    <row r="338">
      <c r="A338" s="83"/>
      <c r="B338" s="83"/>
      <c r="C338" s="83"/>
      <c r="D338" s="83"/>
      <c r="F338" s="83"/>
      <c r="G338" s="83"/>
      <c r="H338" s="83"/>
      <c r="I338" s="83"/>
      <c r="J338" s="83"/>
    </row>
    <row r="339">
      <c r="A339" s="83"/>
      <c r="B339" s="83"/>
      <c r="C339" s="83"/>
      <c r="D339" s="83"/>
      <c r="F339" s="83"/>
      <c r="G339" s="83"/>
      <c r="H339" s="83"/>
      <c r="I339" s="83"/>
      <c r="J339" s="83"/>
    </row>
    <row r="340">
      <c r="A340" s="83"/>
      <c r="B340" s="83"/>
      <c r="C340" s="83"/>
      <c r="D340" s="83"/>
      <c r="F340" s="83"/>
      <c r="G340" s="83"/>
      <c r="H340" s="83"/>
      <c r="I340" s="83"/>
      <c r="J340" s="83"/>
    </row>
    <row r="341">
      <c r="A341" s="83"/>
      <c r="B341" s="83"/>
      <c r="C341" s="83"/>
      <c r="D341" s="83"/>
      <c r="F341" s="83"/>
      <c r="G341" s="83"/>
      <c r="H341" s="83"/>
      <c r="I341" s="83"/>
      <c r="J341" s="83"/>
    </row>
    <row r="342">
      <c r="A342" s="83"/>
      <c r="B342" s="83"/>
      <c r="C342" s="83"/>
      <c r="D342" s="83"/>
      <c r="F342" s="83"/>
      <c r="G342" s="83"/>
      <c r="H342" s="83"/>
      <c r="I342" s="83"/>
      <c r="J342" s="83"/>
    </row>
    <row r="343">
      <c r="A343" s="83"/>
      <c r="B343" s="83"/>
      <c r="C343" s="83"/>
      <c r="D343" s="83"/>
      <c r="F343" s="83"/>
      <c r="G343" s="83"/>
      <c r="H343" s="83"/>
      <c r="I343" s="83"/>
      <c r="J343" s="83"/>
    </row>
    <row r="344">
      <c r="A344" s="83"/>
      <c r="B344" s="83"/>
      <c r="C344" s="83"/>
      <c r="D344" s="83"/>
      <c r="F344" s="83"/>
      <c r="G344" s="83"/>
      <c r="H344" s="83"/>
      <c r="I344" s="83"/>
      <c r="J344" s="83"/>
    </row>
    <row r="345">
      <c r="A345" s="83"/>
      <c r="B345" s="83"/>
      <c r="C345" s="83"/>
      <c r="D345" s="83"/>
      <c r="F345" s="83"/>
      <c r="G345" s="83"/>
      <c r="H345" s="83"/>
      <c r="I345" s="83"/>
      <c r="J345" s="83"/>
    </row>
    <row r="346">
      <c r="A346" s="83"/>
      <c r="B346" s="83"/>
      <c r="C346" s="83"/>
      <c r="D346" s="83"/>
      <c r="F346" s="83"/>
      <c r="G346" s="83"/>
      <c r="H346" s="83"/>
      <c r="I346" s="83"/>
      <c r="J346" s="83"/>
    </row>
    <row r="347">
      <c r="A347" s="83"/>
      <c r="B347" s="83"/>
      <c r="C347" s="83"/>
      <c r="D347" s="83"/>
      <c r="F347" s="83"/>
      <c r="G347" s="83"/>
      <c r="H347" s="83"/>
      <c r="I347" s="83"/>
      <c r="J347" s="83"/>
    </row>
    <row r="348">
      <c r="A348" s="83"/>
      <c r="B348" s="83"/>
      <c r="C348" s="83"/>
      <c r="D348" s="83"/>
      <c r="F348" s="83"/>
      <c r="G348" s="83"/>
      <c r="H348" s="83"/>
      <c r="I348" s="83"/>
      <c r="J348" s="83"/>
    </row>
    <row r="349">
      <c r="A349" s="83"/>
      <c r="B349" s="83"/>
      <c r="C349" s="83"/>
      <c r="D349" s="83"/>
      <c r="F349" s="83"/>
      <c r="G349" s="83"/>
      <c r="H349" s="83"/>
      <c r="I349" s="83"/>
      <c r="J349" s="83"/>
    </row>
    <row r="350">
      <c r="A350" s="83"/>
      <c r="B350" s="83"/>
      <c r="C350" s="83"/>
      <c r="D350" s="83"/>
      <c r="F350" s="83"/>
      <c r="G350" s="83"/>
      <c r="H350" s="83"/>
      <c r="I350" s="83"/>
      <c r="J350" s="83"/>
    </row>
    <row r="351">
      <c r="A351" s="83"/>
      <c r="B351" s="83"/>
      <c r="C351" s="83"/>
      <c r="D351" s="83"/>
      <c r="F351" s="83"/>
      <c r="G351" s="83"/>
      <c r="H351" s="83"/>
      <c r="I351" s="83"/>
      <c r="J351" s="83"/>
    </row>
    <row r="352">
      <c r="A352" s="83"/>
      <c r="B352" s="83"/>
      <c r="C352" s="83"/>
      <c r="D352" s="83"/>
      <c r="F352" s="83"/>
      <c r="G352" s="83"/>
      <c r="H352" s="83"/>
      <c r="I352" s="83"/>
      <c r="J352" s="83"/>
    </row>
    <row r="353">
      <c r="A353" s="83"/>
      <c r="B353" s="83"/>
      <c r="C353" s="83"/>
      <c r="D353" s="83"/>
      <c r="F353" s="83"/>
      <c r="G353" s="83"/>
      <c r="H353" s="83"/>
      <c r="I353" s="83"/>
      <c r="J353" s="83"/>
    </row>
    <row r="354">
      <c r="A354" s="83"/>
      <c r="B354" s="83"/>
      <c r="C354" s="83"/>
      <c r="D354" s="83"/>
      <c r="F354" s="83"/>
      <c r="G354" s="83"/>
      <c r="H354" s="83"/>
      <c r="I354" s="83"/>
      <c r="J354" s="83"/>
    </row>
    <row r="355">
      <c r="A355" s="83"/>
      <c r="B355" s="83"/>
      <c r="C355" s="83"/>
      <c r="D355" s="83"/>
      <c r="F355" s="83"/>
      <c r="G355" s="83"/>
      <c r="H355" s="83"/>
      <c r="I355" s="83"/>
      <c r="J355" s="83"/>
    </row>
    <row r="356">
      <c r="A356" s="83"/>
      <c r="B356" s="83"/>
      <c r="C356" s="83"/>
      <c r="D356" s="83"/>
      <c r="F356" s="83"/>
      <c r="G356" s="83"/>
      <c r="H356" s="83"/>
      <c r="I356" s="83"/>
      <c r="J356" s="83"/>
    </row>
    <row r="357">
      <c r="A357" s="83"/>
      <c r="B357" s="83"/>
      <c r="C357" s="83"/>
      <c r="D357" s="83"/>
      <c r="F357" s="83"/>
      <c r="G357" s="83"/>
      <c r="H357" s="83"/>
      <c r="I357" s="83"/>
      <c r="J357" s="83"/>
    </row>
    <row r="358">
      <c r="A358" s="83"/>
      <c r="B358" s="83"/>
      <c r="C358" s="83"/>
      <c r="D358" s="83"/>
      <c r="F358" s="83"/>
      <c r="G358" s="83"/>
      <c r="H358" s="83"/>
      <c r="I358" s="83"/>
      <c r="J358" s="83"/>
    </row>
    <row r="359">
      <c r="A359" s="83"/>
      <c r="B359" s="83"/>
      <c r="C359" s="83"/>
      <c r="D359" s="83"/>
      <c r="F359" s="83"/>
      <c r="G359" s="83"/>
      <c r="H359" s="83"/>
      <c r="I359" s="83"/>
      <c r="J359" s="83"/>
    </row>
    <row r="360">
      <c r="A360" s="83"/>
      <c r="B360" s="83"/>
      <c r="C360" s="83"/>
      <c r="D360" s="83"/>
      <c r="F360" s="83"/>
      <c r="G360" s="83"/>
      <c r="H360" s="83"/>
      <c r="I360" s="83"/>
      <c r="J360" s="83"/>
    </row>
    <row r="361">
      <c r="A361" s="83"/>
      <c r="B361" s="83"/>
      <c r="C361" s="83"/>
      <c r="D361" s="83"/>
      <c r="F361" s="83"/>
      <c r="G361" s="83"/>
      <c r="H361" s="83"/>
      <c r="I361" s="83"/>
      <c r="J361" s="83"/>
    </row>
    <row r="362">
      <c r="A362" s="83"/>
      <c r="B362" s="83"/>
      <c r="C362" s="83"/>
      <c r="D362" s="83"/>
      <c r="F362" s="83"/>
      <c r="G362" s="83"/>
      <c r="H362" s="83"/>
      <c r="I362" s="83"/>
      <c r="J362" s="83"/>
    </row>
    <row r="363">
      <c r="A363" s="83"/>
      <c r="B363" s="83"/>
      <c r="C363" s="83"/>
      <c r="D363" s="83"/>
      <c r="F363" s="83"/>
      <c r="G363" s="83"/>
      <c r="H363" s="83"/>
      <c r="I363" s="83"/>
      <c r="J363" s="83"/>
    </row>
    <row r="364">
      <c r="A364" s="83"/>
      <c r="B364" s="83"/>
      <c r="C364" s="83"/>
      <c r="D364" s="83"/>
      <c r="F364" s="83"/>
      <c r="G364" s="83"/>
      <c r="H364" s="83"/>
      <c r="I364" s="83"/>
      <c r="J364" s="83"/>
    </row>
    <row r="365">
      <c r="A365" s="83"/>
      <c r="B365" s="83"/>
      <c r="C365" s="83"/>
      <c r="D365" s="83"/>
      <c r="F365" s="83"/>
      <c r="G365" s="83"/>
      <c r="H365" s="83"/>
      <c r="I365" s="83"/>
      <c r="J365" s="83"/>
    </row>
    <row r="366">
      <c r="A366" s="83"/>
      <c r="B366" s="83"/>
      <c r="C366" s="83"/>
      <c r="D366" s="83"/>
      <c r="F366" s="83"/>
      <c r="G366" s="83"/>
      <c r="H366" s="83"/>
      <c r="I366" s="83"/>
      <c r="J366" s="83"/>
    </row>
    <row r="367">
      <c r="A367" s="83"/>
      <c r="B367" s="83"/>
      <c r="C367" s="83"/>
      <c r="D367" s="83"/>
      <c r="F367" s="83"/>
      <c r="G367" s="83"/>
      <c r="H367" s="83"/>
      <c r="I367" s="83"/>
      <c r="J367" s="83"/>
    </row>
    <row r="368">
      <c r="A368" s="83"/>
      <c r="B368" s="83"/>
      <c r="C368" s="83"/>
      <c r="D368" s="83"/>
      <c r="F368" s="83"/>
      <c r="G368" s="83"/>
      <c r="H368" s="83"/>
      <c r="I368" s="83"/>
      <c r="J368" s="83"/>
    </row>
    <row r="369">
      <c r="A369" s="83"/>
      <c r="B369" s="83"/>
      <c r="C369" s="83"/>
      <c r="D369" s="83"/>
      <c r="F369" s="83"/>
      <c r="G369" s="83"/>
      <c r="H369" s="83"/>
      <c r="I369" s="83"/>
      <c r="J369" s="83"/>
    </row>
    <row r="370">
      <c r="A370" s="83"/>
      <c r="B370" s="83"/>
      <c r="C370" s="83"/>
      <c r="D370" s="83"/>
      <c r="F370" s="83"/>
      <c r="G370" s="83"/>
      <c r="H370" s="83"/>
      <c r="I370" s="83"/>
      <c r="J370" s="83"/>
    </row>
    <row r="371">
      <c r="A371" s="83"/>
      <c r="B371" s="83"/>
      <c r="C371" s="83"/>
      <c r="D371" s="83"/>
      <c r="F371" s="83"/>
      <c r="G371" s="83"/>
      <c r="H371" s="83"/>
      <c r="I371" s="83"/>
      <c r="J371" s="83"/>
    </row>
    <row r="372">
      <c r="A372" s="83"/>
      <c r="B372" s="83"/>
      <c r="C372" s="83"/>
      <c r="D372" s="83"/>
      <c r="F372" s="83"/>
      <c r="G372" s="83"/>
      <c r="H372" s="83"/>
      <c r="I372" s="83"/>
      <c r="J372" s="83"/>
    </row>
    <row r="373">
      <c r="A373" s="83"/>
      <c r="B373" s="83"/>
      <c r="C373" s="83"/>
      <c r="D373" s="83"/>
      <c r="F373" s="83"/>
      <c r="G373" s="83"/>
      <c r="H373" s="83"/>
      <c r="I373" s="83"/>
      <c r="J373" s="83"/>
    </row>
    <row r="374">
      <c r="A374" s="83"/>
      <c r="B374" s="83"/>
      <c r="C374" s="83"/>
      <c r="D374" s="83"/>
      <c r="F374" s="83"/>
      <c r="G374" s="83"/>
      <c r="H374" s="83"/>
      <c r="I374" s="83"/>
      <c r="J374" s="83"/>
    </row>
    <row r="375">
      <c r="A375" s="83"/>
      <c r="B375" s="83"/>
      <c r="C375" s="83"/>
      <c r="D375" s="83"/>
      <c r="F375" s="83"/>
      <c r="G375" s="83"/>
      <c r="H375" s="83"/>
      <c r="I375" s="83"/>
      <c r="J375" s="83"/>
    </row>
    <row r="376">
      <c r="A376" s="83"/>
      <c r="B376" s="83"/>
      <c r="C376" s="83"/>
      <c r="D376" s="83"/>
      <c r="F376" s="83"/>
      <c r="G376" s="83"/>
      <c r="H376" s="83"/>
      <c r="I376" s="83"/>
      <c r="J376" s="83"/>
    </row>
    <row r="377">
      <c r="A377" s="83"/>
      <c r="B377" s="83"/>
      <c r="C377" s="83"/>
      <c r="D377" s="83"/>
      <c r="F377" s="83"/>
      <c r="G377" s="83"/>
      <c r="H377" s="83"/>
      <c r="I377" s="83"/>
      <c r="J377" s="83"/>
    </row>
    <row r="378">
      <c r="A378" s="83"/>
      <c r="B378" s="83"/>
      <c r="C378" s="83"/>
      <c r="D378" s="83"/>
      <c r="F378" s="83"/>
      <c r="G378" s="83"/>
      <c r="H378" s="83"/>
      <c r="I378" s="83"/>
      <c r="J378" s="83"/>
    </row>
    <row r="379">
      <c r="A379" s="83"/>
      <c r="B379" s="83"/>
      <c r="C379" s="83"/>
      <c r="D379" s="83"/>
      <c r="F379" s="83"/>
      <c r="G379" s="83"/>
      <c r="H379" s="83"/>
      <c r="I379" s="83"/>
      <c r="J379" s="83"/>
    </row>
    <row r="380">
      <c r="A380" s="83"/>
      <c r="B380" s="83"/>
      <c r="C380" s="83"/>
      <c r="D380" s="83"/>
      <c r="F380" s="83"/>
      <c r="G380" s="83"/>
      <c r="H380" s="83"/>
      <c r="I380" s="83"/>
      <c r="J380" s="83"/>
    </row>
    <row r="381">
      <c r="A381" s="83"/>
      <c r="B381" s="83"/>
      <c r="C381" s="83"/>
      <c r="D381" s="83"/>
      <c r="F381" s="83"/>
      <c r="G381" s="83"/>
      <c r="H381" s="83"/>
      <c r="I381" s="83"/>
      <c r="J381" s="83"/>
    </row>
    <row r="382">
      <c r="A382" s="83"/>
      <c r="B382" s="83"/>
      <c r="C382" s="83"/>
      <c r="D382" s="83"/>
      <c r="F382" s="83"/>
      <c r="G382" s="83"/>
      <c r="H382" s="83"/>
      <c r="I382" s="83"/>
      <c r="J382" s="83"/>
    </row>
    <row r="383">
      <c r="A383" s="83"/>
      <c r="B383" s="83"/>
      <c r="C383" s="83"/>
      <c r="D383" s="83"/>
      <c r="F383" s="83"/>
      <c r="G383" s="83"/>
      <c r="H383" s="83"/>
      <c r="I383" s="83"/>
      <c r="J383" s="83"/>
    </row>
    <row r="384">
      <c r="A384" s="83"/>
      <c r="B384" s="83"/>
      <c r="C384" s="83"/>
      <c r="D384" s="83"/>
      <c r="F384" s="83"/>
      <c r="G384" s="83"/>
      <c r="H384" s="83"/>
      <c r="I384" s="83"/>
      <c r="J384" s="83"/>
    </row>
    <row r="385">
      <c r="A385" s="83"/>
      <c r="B385" s="83"/>
      <c r="C385" s="83"/>
      <c r="D385" s="83"/>
      <c r="F385" s="83"/>
      <c r="G385" s="83"/>
      <c r="H385" s="83"/>
      <c r="I385" s="83"/>
      <c r="J385" s="83"/>
    </row>
    <row r="386">
      <c r="A386" s="83"/>
      <c r="B386" s="83"/>
      <c r="C386" s="83"/>
      <c r="D386" s="83"/>
      <c r="F386" s="83"/>
      <c r="G386" s="83"/>
      <c r="H386" s="83"/>
      <c r="I386" s="83"/>
      <c r="J386" s="83"/>
    </row>
    <row r="387">
      <c r="A387" s="83"/>
      <c r="B387" s="83"/>
      <c r="C387" s="83"/>
      <c r="D387" s="83"/>
      <c r="F387" s="83"/>
      <c r="G387" s="83"/>
      <c r="H387" s="83"/>
      <c r="I387" s="83"/>
      <c r="J387" s="83"/>
    </row>
    <row r="388">
      <c r="A388" s="83"/>
      <c r="B388" s="83"/>
      <c r="C388" s="83"/>
      <c r="D388" s="83"/>
      <c r="F388" s="83"/>
      <c r="G388" s="83"/>
      <c r="H388" s="83"/>
      <c r="I388" s="83"/>
      <c r="J388" s="83"/>
    </row>
    <row r="389">
      <c r="A389" s="83"/>
      <c r="B389" s="83"/>
      <c r="C389" s="83"/>
      <c r="D389" s="83"/>
      <c r="F389" s="83"/>
      <c r="G389" s="83"/>
      <c r="H389" s="83"/>
      <c r="I389" s="83"/>
      <c r="J389" s="83"/>
    </row>
    <row r="390">
      <c r="A390" s="83"/>
      <c r="B390" s="83"/>
      <c r="C390" s="83"/>
      <c r="D390" s="83"/>
      <c r="F390" s="83"/>
      <c r="G390" s="83"/>
      <c r="H390" s="83"/>
      <c r="I390" s="83"/>
      <c r="J390" s="83"/>
    </row>
    <row r="391">
      <c r="A391" s="83"/>
      <c r="B391" s="83"/>
      <c r="C391" s="83"/>
      <c r="D391" s="83"/>
      <c r="F391" s="83"/>
      <c r="G391" s="83"/>
      <c r="H391" s="83"/>
      <c r="I391" s="83"/>
      <c r="J391" s="83"/>
    </row>
    <row r="392">
      <c r="A392" s="83"/>
      <c r="B392" s="83"/>
      <c r="C392" s="83"/>
      <c r="D392" s="83"/>
      <c r="F392" s="83"/>
      <c r="G392" s="83"/>
      <c r="H392" s="83"/>
      <c r="I392" s="83"/>
      <c r="J392" s="83"/>
    </row>
    <row r="393">
      <c r="A393" s="83"/>
      <c r="B393" s="83"/>
      <c r="C393" s="83"/>
      <c r="D393" s="83"/>
      <c r="F393" s="83"/>
      <c r="G393" s="83"/>
      <c r="H393" s="83"/>
      <c r="I393" s="83"/>
      <c r="J393" s="83"/>
    </row>
    <row r="394">
      <c r="A394" s="83"/>
      <c r="B394" s="83"/>
      <c r="C394" s="83"/>
      <c r="D394" s="83"/>
      <c r="F394" s="83"/>
      <c r="G394" s="83"/>
      <c r="H394" s="83"/>
      <c r="I394" s="83"/>
      <c r="J394" s="83"/>
    </row>
    <row r="395">
      <c r="A395" s="83"/>
      <c r="B395" s="83"/>
      <c r="C395" s="83"/>
      <c r="D395" s="83"/>
      <c r="F395" s="83"/>
      <c r="G395" s="83"/>
      <c r="H395" s="83"/>
      <c r="I395" s="83"/>
      <c r="J395" s="83"/>
    </row>
    <row r="396">
      <c r="A396" s="83"/>
      <c r="B396" s="83"/>
      <c r="C396" s="83"/>
      <c r="D396" s="83"/>
      <c r="F396" s="83"/>
      <c r="G396" s="83"/>
      <c r="H396" s="83"/>
      <c r="I396" s="83"/>
      <c r="J396" s="83"/>
    </row>
    <row r="397">
      <c r="A397" s="83"/>
      <c r="B397" s="83"/>
      <c r="C397" s="83"/>
      <c r="D397" s="83"/>
      <c r="F397" s="83"/>
      <c r="G397" s="83"/>
      <c r="H397" s="83"/>
      <c r="I397" s="83"/>
      <c r="J397" s="83"/>
    </row>
    <row r="398">
      <c r="A398" s="83"/>
      <c r="B398" s="83"/>
      <c r="C398" s="83"/>
      <c r="D398" s="83"/>
      <c r="F398" s="83"/>
      <c r="G398" s="83"/>
      <c r="H398" s="83"/>
      <c r="I398" s="83"/>
      <c r="J398" s="83"/>
    </row>
    <row r="399">
      <c r="A399" s="83"/>
      <c r="B399" s="83"/>
      <c r="C399" s="83"/>
      <c r="D399" s="83"/>
      <c r="F399" s="83"/>
      <c r="G399" s="83"/>
      <c r="H399" s="83"/>
      <c r="I399" s="83"/>
      <c r="J399" s="83"/>
    </row>
    <row r="400">
      <c r="A400" s="83"/>
      <c r="B400" s="83"/>
      <c r="C400" s="83"/>
      <c r="D400" s="83"/>
      <c r="F400" s="83"/>
      <c r="G400" s="83"/>
      <c r="H400" s="83"/>
      <c r="I400" s="83"/>
      <c r="J400" s="83"/>
    </row>
    <row r="401">
      <c r="A401" s="83"/>
      <c r="B401" s="83"/>
      <c r="C401" s="83"/>
      <c r="D401" s="83"/>
      <c r="F401" s="83"/>
      <c r="G401" s="83"/>
      <c r="H401" s="83"/>
      <c r="I401" s="83"/>
      <c r="J401" s="83"/>
    </row>
    <row r="402">
      <c r="A402" s="83"/>
      <c r="B402" s="83"/>
      <c r="C402" s="83"/>
      <c r="D402" s="83"/>
      <c r="F402" s="83"/>
      <c r="G402" s="83"/>
      <c r="H402" s="83"/>
      <c r="I402" s="83"/>
      <c r="J402" s="83"/>
    </row>
    <row r="403">
      <c r="A403" s="83"/>
      <c r="B403" s="83"/>
      <c r="C403" s="83"/>
      <c r="D403" s="83"/>
      <c r="F403" s="83"/>
      <c r="G403" s="83"/>
      <c r="H403" s="83"/>
      <c r="I403" s="83"/>
      <c r="J403" s="83"/>
    </row>
    <row r="404">
      <c r="A404" s="83"/>
      <c r="B404" s="83"/>
      <c r="C404" s="83"/>
      <c r="D404" s="83"/>
      <c r="F404" s="83"/>
      <c r="G404" s="83"/>
      <c r="H404" s="83"/>
      <c r="I404" s="83"/>
      <c r="J404" s="83"/>
    </row>
    <row r="405">
      <c r="A405" s="83"/>
      <c r="B405" s="83"/>
      <c r="C405" s="83"/>
      <c r="D405" s="83"/>
      <c r="F405" s="83"/>
      <c r="G405" s="83"/>
      <c r="H405" s="83"/>
      <c r="I405" s="83"/>
      <c r="J405" s="83"/>
    </row>
    <row r="406">
      <c r="A406" s="83"/>
      <c r="B406" s="83"/>
      <c r="C406" s="83"/>
      <c r="D406" s="83"/>
      <c r="F406" s="83"/>
      <c r="G406" s="83"/>
      <c r="H406" s="83"/>
      <c r="I406" s="83"/>
      <c r="J406" s="83"/>
    </row>
    <row r="407">
      <c r="A407" s="83"/>
      <c r="B407" s="83"/>
      <c r="C407" s="83"/>
      <c r="D407" s="83"/>
      <c r="F407" s="83"/>
      <c r="G407" s="83"/>
      <c r="H407" s="83"/>
      <c r="I407" s="83"/>
      <c r="J407" s="83"/>
    </row>
    <row r="408">
      <c r="A408" s="83"/>
      <c r="B408" s="83"/>
      <c r="C408" s="83"/>
      <c r="D408" s="83"/>
      <c r="F408" s="83"/>
      <c r="G408" s="83"/>
      <c r="H408" s="83"/>
      <c r="I408" s="83"/>
      <c r="J408" s="83"/>
    </row>
    <row r="409">
      <c r="A409" s="83"/>
      <c r="B409" s="83"/>
      <c r="C409" s="83"/>
      <c r="D409" s="83"/>
      <c r="F409" s="83"/>
      <c r="G409" s="83"/>
      <c r="H409" s="83"/>
      <c r="I409" s="83"/>
      <c r="J409" s="83"/>
    </row>
    <row r="410">
      <c r="A410" s="83"/>
      <c r="B410" s="83"/>
      <c r="C410" s="83"/>
      <c r="D410" s="83"/>
      <c r="F410" s="83"/>
      <c r="G410" s="83"/>
      <c r="H410" s="83"/>
      <c r="I410" s="83"/>
      <c r="J410" s="83"/>
    </row>
    <row r="411">
      <c r="A411" s="83"/>
      <c r="B411" s="83"/>
      <c r="C411" s="83"/>
      <c r="D411" s="83"/>
      <c r="F411" s="83"/>
      <c r="G411" s="83"/>
      <c r="H411" s="83"/>
      <c r="I411" s="83"/>
      <c r="J411" s="83"/>
    </row>
    <row r="412">
      <c r="A412" s="83"/>
      <c r="B412" s="83"/>
      <c r="C412" s="83"/>
      <c r="D412" s="83"/>
      <c r="F412" s="83"/>
      <c r="G412" s="83"/>
      <c r="H412" s="83"/>
      <c r="I412" s="83"/>
      <c r="J412" s="83"/>
    </row>
    <row r="413">
      <c r="A413" s="83"/>
      <c r="B413" s="83"/>
      <c r="C413" s="83"/>
      <c r="D413" s="83"/>
      <c r="F413" s="83"/>
      <c r="G413" s="83"/>
      <c r="H413" s="83"/>
      <c r="I413" s="83"/>
      <c r="J413" s="83"/>
    </row>
    <row r="414">
      <c r="A414" s="83"/>
      <c r="B414" s="83"/>
      <c r="C414" s="83"/>
      <c r="D414" s="83"/>
      <c r="F414" s="83"/>
      <c r="G414" s="83"/>
      <c r="H414" s="83"/>
      <c r="I414" s="83"/>
      <c r="J414" s="83"/>
    </row>
    <row r="415">
      <c r="A415" s="83"/>
      <c r="B415" s="83"/>
      <c r="C415" s="83"/>
      <c r="D415" s="83"/>
      <c r="F415" s="83"/>
      <c r="G415" s="83"/>
      <c r="H415" s="83"/>
      <c r="I415" s="83"/>
      <c r="J415" s="83"/>
    </row>
    <row r="416">
      <c r="A416" s="83"/>
      <c r="B416" s="83"/>
      <c r="C416" s="83"/>
      <c r="D416" s="83"/>
      <c r="F416" s="83"/>
      <c r="G416" s="83"/>
      <c r="H416" s="83"/>
      <c r="I416" s="83"/>
      <c r="J416" s="83"/>
    </row>
    <row r="417">
      <c r="A417" s="83"/>
      <c r="B417" s="83"/>
      <c r="C417" s="83"/>
      <c r="D417" s="83"/>
      <c r="F417" s="83"/>
      <c r="G417" s="83"/>
      <c r="H417" s="83"/>
      <c r="I417" s="83"/>
      <c r="J417" s="83"/>
    </row>
    <row r="418">
      <c r="A418" s="83"/>
      <c r="B418" s="83"/>
      <c r="C418" s="83"/>
      <c r="D418" s="83"/>
      <c r="F418" s="83"/>
      <c r="G418" s="83"/>
      <c r="H418" s="83"/>
      <c r="I418" s="83"/>
      <c r="J418" s="83"/>
    </row>
    <row r="419">
      <c r="A419" s="83"/>
      <c r="B419" s="83"/>
      <c r="C419" s="83"/>
      <c r="D419" s="83"/>
      <c r="F419" s="83"/>
      <c r="G419" s="83"/>
      <c r="H419" s="83"/>
      <c r="I419" s="83"/>
      <c r="J419" s="83"/>
    </row>
    <row r="420">
      <c r="A420" s="83"/>
      <c r="B420" s="83"/>
      <c r="C420" s="83"/>
      <c r="D420" s="83"/>
      <c r="F420" s="83"/>
      <c r="G420" s="83"/>
      <c r="H420" s="83"/>
      <c r="I420" s="83"/>
      <c r="J420" s="83"/>
    </row>
    <row r="421">
      <c r="A421" s="83"/>
      <c r="B421" s="83"/>
      <c r="C421" s="83"/>
      <c r="D421" s="83"/>
      <c r="F421" s="83"/>
      <c r="G421" s="83"/>
      <c r="H421" s="83"/>
      <c r="I421" s="83"/>
      <c r="J421" s="83"/>
    </row>
    <row r="422">
      <c r="A422" s="83"/>
      <c r="B422" s="83"/>
      <c r="C422" s="83"/>
      <c r="D422" s="83"/>
      <c r="F422" s="83"/>
      <c r="G422" s="83"/>
      <c r="H422" s="83"/>
      <c r="I422" s="83"/>
      <c r="J422" s="83"/>
    </row>
    <row r="423">
      <c r="A423" s="83"/>
      <c r="B423" s="83"/>
      <c r="C423" s="83"/>
      <c r="D423" s="83"/>
      <c r="F423" s="83"/>
      <c r="G423" s="83"/>
      <c r="H423" s="83"/>
      <c r="I423" s="83"/>
      <c r="J423" s="83"/>
    </row>
    <row r="424">
      <c r="A424" s="83"/>
      <c r="B424" s="83"/>
      <c r="C424" s="83"/>
      <c r="D424" s="83"/>
      <c r="F424" s="83"/>
      <c r="G424" s="83"/>
      <c r="H424" s="83"/>
      <c r="I424" s="83"/>
      <c r="J424" s="83"/>
    </row>
    <row r="425">
      <c r="A425" s="83"/>
      <c r="B425" s="83"/>
      <c r="C425" s="83"/>
      <c r="D425" s="83"/>
      <c r="F425" s="83"/>
      <c r="G425" s="83"/>
      <c r="H425" s="83"/>
      <c r="I425" s="83"/>
      <c r="J425" s="83"/>
    </row>
    <row r="426">
      <c r="A426" s="83"/>
      <c r="B426" s="83"/>
      <c r="C426" s="83"/>
      <c r="D426" s="83"/>
      <c r="F426" s="83"/>
      <c r="G426" s="83"/>
      <c r="H426" s="83"/>
      <c r="I426" s="83"/>
      <c r="J426" s="83"/>
    </row>
    <row r="427">
      <c r="A427" s="83"/>
      <c r="B427" s="83"/>
      <c r="C427" s="83"/>
      <c r="D427" s="83"/>
      <c r="F427" s="83"/>
      <c r="G427" s="83"/>
      <c r="H427" s="83"/>
      <c r="I427" s="83"/>
      <c r="J427" s="83"/>
    </row>
    <row r="428">
      <c r="A428" s="83"/>
      <c r="B428" s="83"/>
      <c r="C428" s="83"/>
      <c r="D428" s="83"/>
      <c r="F428" s="83"/>
      <c r="G428" s="83"/>
      <c r="H428" s="83"/>
      <c r="I428" s="83"/>
      <c r="J428" s="83"/>
    </row>
    <row r="429">
      <c r="A429" s="83"/>
      <c r="B429" s="83"/>
      <c r="C429" s="83"/>
      <c r="D429" s="83"/>
      <c r="F429" s="83"/>
      <c r="G429" s="83"/>
      <c r="H429" s="83"/>
      <c r="I429" s="83"/>
      <c r="J429" s="83"/>
    </row>
    <row r="430">
      <c r="A430" s="83"/>
      <c r="B430" s="83"/>
      <c r="C430" s="83"/>
      <c r="D430" s="83"/>
      <c r="F430" s="83"/>
      <c r="G430" s="83"/>
      <c r="H430" s="83"/>
      <c r="I430" s="83"/>
      <c r="J430" s="83"/>
    </row>
    <row r="431">
      <c r="A431" s="83"/>
      <c r="B431" s="83"/>
      <c r="C431" s="83"/>
      <c r="D431" s="83"/>
      <c r="F431" s="83"/>
      <c r="G431" s="83"/>
      <c r="H431" s="83"/>
      <c r="I431" s="83"/>
      <c r="J431" s="83"/>
    </row>
    <row r="432">
      <c r="A432" s="83"/>
      <c r="B432" s="83"/>
      <c r="C432" s="83"/>
      <c r="D432" s="83"/>
      <c r="F432" s="83"/>
      <c r="G432" s="83"/>
      <c r="H432" s="83"/>
      <c r="I432" s="83"/>
      <c r="J432" s="83"/>
    </row>
    <row r="433">
      <c r="A433" s="83"/>
      <c r="B433" s="83"/>
      <c r="C433" s="83"/>
      <c r="D433" s="83"/>
      <c r="F433" s="83"/>
      <c r="G433" s="83"/>
      <c r="H433" s="83"/>
      <c r="I433" s="83"/>
      <c r="J433" s="83"/>
    </row>
    <row r="434">
      <c r="A434" s="83"/>
      <c r="B434" s="83"/>
      <c r="C434" s="83"/>
      <c r="D434" s="83"/>
      <c r="F434" s="83"/>
      <c r="G434" s="83"/>
      <c r="H434" s="83"/>
      <c r="I434" s="83"/>
      <c r="J434" s="83"/>
    </row>
    <row r="435">
      <c r="A435" s="83"/>
      <c r="B435" s="83"/>
      <c r="C435" s="83"/>
      <c r="D435" s="83"/>
      <c r="F435" s="83"/>
      <c r="G435" s="83"/>
      <c r="H435" s="83"/>
      <c r="I435" s="83"/>
      <c r="J435" s="83"/>
    </row>
    <row r="436">
      <c r="A436" s="83"/>
      <c r="B436" s="83"/>
      <c r="C436" s="83"/>
      <c r="D436" s="83"/>
      <c r="F436" s="83"/>
      <c r="G436" s="83"/>
      <c r="H436" s="83"/>
      <c r="I436" s="83"/>
      <c r="J436" s="83"/>
    </row>
    <row r="437">
      <c r="A437" s="83"/>
      <c r="B437" s="83"/>
      <c r="C437" s="83"/>
      <c r="D437" s="83"/>
      <c r="F437" s="83"/>
      <c r="G437" s="83"/>
      <c r="H437" s="83"/>
      <c r="I437" s="83"/>
      <c r="J437" s="83"/>
    </row>
    <row r="438">
      <c r="A438" s="83"/>
      <c r="B438" s="83"/>
      <c r="C438" s="83"/>
      <c r="D438" s="83"/>
      <c r="F438" s="83"/>
      <c r="G438" s="83"/>
      <c r="H438" s="83"/>
      <c r="I438" s="83"/>
      <c r="J438" s="83"/>
    </row>
    <row r="439">
      <c r="A439" s="83"/>
      <c r="B439" s="83"/>
      <c r="C439" s="83"/>
      <c r="D439" s="83"/>
      <c r="F439" s="83"/>
      <c r="G439" s="83"/>
      <c r="H439" s="83"/>
      <c r="I439" s="83"/>
      <c r="J439" s="83"/>
    </row>
    <row r="440">
      <c r="A440" s="83"/>
      <c r="B440" s="83"/>
      <c r="C440" s="83"/>
      <c r="D440" s="83"/>
      <c r="F440" s="83"/>
      <c r="G440" s="83"/>
      <c r="H440" s="83"/>
      <c r="I440" s="83"/>
      <c r="J440" s="83"/>
    </row>
    <row r="441">
      <c r="A441" s="83"/>
      <c r="B441" s="83"/>
      <c r="C441" s="83"/>
      <c r="D441" s="83"/>
      <c r="F441" s="83"/>
      <c r="G441" s="83"/>
      <c r="H441" s="83"/>
      <c r="I441" s="83"/>
      <c r="J441" s="83"/>
    </row>
    <row r="442">
      <c r="A442" s="83"/>
      <c r="B442" s="83"/>
      <c r="C442" s="83"/>
      <c r="D442" s="83"/>
      <c r="F442" s="83"/>
      <c r="G442" s="83"/>
      <c r="H442" s="83"/>
      <c r="I442" s="83"/>
      <c r="J442" s="83"/>
    </row>
    <row r="443">
      <c r="A443" s="83"/>
      <c r="B443" s="83"/>
      <c r="C443" s="83"/>
      <c r="D443" s="83"/>
      <c r="F443" s="83"/>
      <c r="G443" s="83"/>
      <c r="H443" s="83"/>
      <c r="I443" s="83"/>
      <c r="J443" s="83"/>
    </row>
    <row r="444">
      <c r="A444" s="83"/>
      <c r="B444" s="83"/>
      <c r="C444" s="83"/>
      <c r="D444" s="83"/>
      <c r="F444" s="83"/>
      <c r="G444" s="83"/>
      <c r="H444" s="83"/>
      <c r="I444" s="83"/>
      <c r="J444" s="83"/>
    </row>
    <row r="445">
      <c r="A445" s="83"/>
      <c r="B445" s="83"/>
      <c r="C445" s="83"/>
      <c r="D445" s="83"/>
      <c r="F445" s="83"/>
      <c r="G445" s="83"/>
      <c r="H445" s="83"/>
      <c r="I445" s="83"/>
      <c r="J445" s="83"/>
    </row>
    <row r="446">
      <c r="A446" s="83"/>
      <c r="B446" s="83"/>
      <c r="C446" s="83"/>
      <c r="D446" s="83"/>
      <c r="F446" s="83"/>
      <c r="G446" s="83"/>
      <c r="H446" s="83"/>
      <c r="I446" s="83"/>
      <c r="J446" s="83"/>
    </row>
    <row r="447">
      <c r="A447" s="83"/>
      <c r="B447" s="83"/>
      <c r="C447" s="83"/>
      <c r="D447" s="83"/>
      <c r="F447" s="83"/>
      <c r="G447" s="83"/>
      <c r="H447" s="83"/>
      <c r="I447" s="83"/>
      <c r="J447" s="83"/>
    </row>
    <row r="448">
      <c r="A448" s="83"/>
      <c r="B448" s="83"/>
      <c r="C448" s="83"/>
      <c r="D448" s="83"/>
      <c r="F448" s="83"/>
      <c r="G448" s="83"/>
      <c r="H448" s="83"/>
      <c r="I448" s="83"/>
      <c r="J448" s="83"/>
    </row>
    <row r="449">
      <c r="A449" s="83"/>
      <c r="B449" s="83"/>
      <c r="C449" s="83"/>
      <c r="D449" s="83"/>
      <c r="F449" s="83"/>
      <c r="G449" s="83"/>
      <c r="H449" s="83"/>
      <c r="I449" s="83"/>
      <c r="J449" s="83"/>
    </row>
    <row r="450">
      <c r="A450" s="83"/>
      <c r="B450" s="83"/>
      <c r="C450" s="83"/>
      <c r="D450" s="83"/>
      <c r="F450" s="83"/>
      <c r="G450" s="83"/>
      <c r="H450" s="83"/>
      <c r="I450" s="83"/>
      <c r="J450" s="83"/>
    </row>
    <row r="451">
      <c r="A451" s="83"/>
      <c r="B451" s="83"/>
      <c r="C451" s="83"/>
      <c r="D451" s="83"/>
      <c r="F451" s="83"/>
      <c r="G451" s="83"/>
      <c r="H451" s="83"/>
      <c r="I451" s="83"/>
      <c r="J451" s="83"/>
    </row>
    <row r="452">
      <c r="A452" s="83"/>
      <c r="B452" s="83"/>
      <c r="C452" s="83"/>
      <c r="D452" s="83"/>
      <c r="F452" s="83"/>
      <c r="G452" s="83"/>
      <c r="H452" s="83"/>
      <c r="I452" s="83"/>
      <c r="J452" s="83"/>
    </row>
    <row r="453">
      <c r="A453" s="83"/>
      <c r="B453" s="83"/>
      <c r="C453" s="83"/>
      <c r="D453" s="83"/>
      <c r="F453" s="83"/>
      <c r="G453" s="83"/>
      <c r="H453" s="83"/>
      <c r="I453" s="83"/>
      <c r="J453" s="83"/>
    </row>
    <row r="454">
      <c r="A454" s="83"/>
      <c r="B454" s="83"/>
      <c r="C454" s="83"/>
      <c r="D454" s="83"/>
      <c r="F454" s="83"/>
      <c r="G454" s="83"/>
      <c r="H454" s="83"/>
      <c r="I454" s="83"/>
      <c r="J454" s="83"/>
    </row>
    <row r="455">
      <c r="A455" s="83"/>
      <c r="B455" s="83"/>
      <c r="C455" s="83"/>
      <c r="D455" s="83"/>
      <c r="F455" s="83"/>
      <c r="G455" s="83"/>
      <c r="H455" s="83"/>
      <c r="I455" s="83"/>
      <c r="J455" s="83"/>
    </row>
    <row r="456">
      <c r="A456" s="83"/>
      <c r="B456" s="83"/>
      <c r="C456" s="83"/>
      <c r="D456" s="83"/>
      <c r="F456" s="83"/>
      <c r="G456" s="83"/>
      <c r="H456" s="83"/>
      <c r="I456" s="83"/>
      <c r="J456" s="83"/>
    </row>
    <row r="457">
      <c r="A457" s="83"/>
      <c r="B457" s="83"/>
      <c r="C457" s="83"/>
      <c r="D457" s="83"/>
      <c r="F457" s="83"/>
      <c r="G457" s="83"/>
      <c r="H457" s="83"/>
      <c r="I457" s="83"/>
      <c r="J457" s="83"/>
    </row>
    <row r="458">
      <c r="A458" s="83"/>
      <c r="B458" s="83"/>
      <c r="C458" s="83"/>
      <c r="D458" s="83"/>
      <c r="F458" s="83"/>
      <c r="G458" s="83"/>
      <c r="H458" s="83"/>
      <c r="I458" s="83"/>
      <c r="J458" s="83"/>
    </row>
    <row r="459">
      <c r="A459" s="83"/>
      <c r="B459" s="83"/>
      <c r="C459" s="83"/>
      <c r="D459" s="83"/>
      <c r="F459" s="83"/>
      <c r="G459" s="83"/>
      <c r="H459" s="83"/>
      <c r="I459" s="83"/>
      <c r="J459" s="83"/>
    </row>
    <row r="460">
      <c r="A460" s="83"/>
      <c r="B460" s="83"/>
      <c r="C460" s="83"/>
      <c r="D460" s="83"/>
      <c r="F460" s="83"/>
      <c r="G460" s="83"/>
      <c r="H460" s="83"/>
      <c r="I460" s="83"/>
      <c r="J460" s="83"/>
    </row>
    <row r="461">
      <c r="A461" s="83"/>
      <c r="B461" s="83"/>
      <c r="C461" s="83"/>
      <c r="D461" s="83"/>
      <c r="F461" s="83"/>
      <c r="G461" s="83"/>
      <c r="H461" s="83"/>
      <c r="I461" s="83"/>
      <c r="J461" s="83"/>
    </row>
    <row r="462">
      <c r="A462" s="83"/>
      <c r="B462" s="83"/>
      <c r="C462" s="83"/>
      <c r="D462" s="83"/>
      <c r="F462" s="83"/>
      <c r="G462" s="83"/>
      <c r="H462" s="83"/>
      <c r="I462" s="83"/>
      <c r="J462" s="83"/>
    </row>
    <row r="463">
      <c r="A463" s="83"/>
      <c r="B463" s="83"/>
      <c r="C463" s="83"/>
      <c r="D463" s="83"/>
      <c r="F463" s="83"/>
      <c r="G463" s="83"/>
      <c r="H463" s="83"/>
      <c r="I463" s="83"/>
      <c r="J463" s="83"/>
    </row>
    <row r="464">
      <c r="A464" s="83"/>
      <c r="B464" s="83"/>
      <c r="C464" s="83"/>
      <c r="D464" s="83"/>
      <c r="F464" s="83"/>
      <c r="G464" s="83"/>
      <c r="H464" s="83"/>
      <c r="I464" s="83"/>
      <c r="J464" s="83"/>
    </row>
    <row r="465">
      <c r="A465" s="83"/>
      <c r="B465" s="83"/>
      <c r="C465" s="83"/>
      <c r="D465" s="83"/>
      <c r="F465" s="83"/>
      <c r="G465" s="83"/>
      <c r="H465" s="83"/>
      <c r="I465" s="83"/>
      <c r="J465" s="83"/>
    </row>
    <row r="466">
      <c r="A466" s="83"/>
      <c r="B466" s="83"/>
      <c r="C466" s="83"/>
      <c r="D466" s="83"/>
      <c r="F466" s="83"/>
      <c r="G466" s="83"/>
      <c r="H466" s="83"/>
      <c r="I466" s="83"/>
      <c r="J466" s="83"/>
    </row>
    <row r="467">
      <c r="A467" s="83"/>
      <c r="B467" s="83"/>
      <c r="C467" s="83"/>
      <c r="D467" s="83"/>
      <c r="F467" s="83"/>
      <c r="G467" s="83"/>
      <c r="H467" s="83"/>
      <c r="I467" s="83"/>
      <c r="J467" s="83"/>
    </row>
    <row r="468">
      <c r="A468" s="83"/>
      <c r="B468" s="83"/>
      <c r="C468" s="83"/>
      <c r="D468" s="83"/>
      <c r="F468" s="83"/>
      <c r="G468" s="83"/>
      <c r="H468" s="83"/>
      <c r="I468" s="83"/>
      <c r="J468" s="83"/>
    </row>
    <row r="469">
      <c r="A469" s="83"/>
      <c r="B469" s="83"/>
      <c r="C469" s="83"/>
      <c r="D469" s="83"/>
      <c r="F469" s="83"/>
      <c r="G469" s="83"/>
      <c r="H469" s="83"/>
      <c r="I469" s="83"/>
      <c r="J469" s="83"/>
    </row>
    <row r="470">
      <c r="A470" s="83"/>
      <c r="B470" s="83"/>
      <c r="C470" s="83"/>
      <c r="D470" s="83"/>
      <c r="F470" s="83"/>
      <c r="G470" s="83"/>
      <c r="H470" s="83"/>
      <c r="I470" s="83"/>
      <c r="J470" s="83"/>
    </row>
    <row r="471">
      <c r="A471" s="83"/>
      <c r="B471" s="83"/>
      <c r="C471" s="83"/>
      <c r="D471" s="83"/>
      <c r="F471" s="83"/>
      <c r="G471" s="83"/>
      <c r="H471" s="83"/>
      <c r="I471" s="83"/>
      <c r="J471" s="83"/>
    </row>
    <row r="472">
      <c r="A472" s="83"/>
      <c r="B472" s="83"/>
      <c r="C472" s="83"/>
      <c r="D472" s="83"/>
      <c r="F472" s="83"/>
      <c r="G472" s="83"/>
      <c r="H472" s="83"/>
      <c r="I472" s="83"/>
      <c r="J472" s="83"/>
    </row>
    <row r="473">
      <c r="A473" s="83"/>
      <c r="B473" s="83"/>
      <c r="C473" s="83"/>
      <c r="D473" s="83"/>
      <c r="F473" s="83"/>
      <c r="G473" s="83"/>
      <c r="H473" s="83"/>
      <c r="I473" s="83"/>
      <c r="J473" s="83"/>
    </row>
    <row r="474">
      <c r="A474" s="83"/>
      <c r="B474" s="83"/>
      <c r="C474" s="83"/>
      <c r="D474" s="83"/>
      <c r="F474" s="83"/>
      <c r="G474" s="83"/>
      <c r="H474" s="83"/>
      <c r="I474" s="83"/>
      <c r="J474" s="83"/>
    </row>
    <row r="475">
      <c r="A475" s="83"/>
      <c r="B475" s="83"/>
      <c r="C475" s="83"/>
      <c r="D475" s="83"/>
      <c r="F475" s="83"/>
      <c r="G475" s="83"/>
      <c r="H475" s="83"/>
      <c r="I475" s="83"/>
      <c r="J475" s="83"/>
    </row>
    <row r="476">
      <c r="A476" s="83"/>
      <c r="B476" s="83"/>
      <c r="C476" s="83"/>
      <c r="D476" s="83"/>
      <c r="F476" s="83"/>
      <c r="G476" s="83"/>
      <c r="H476" s="83"/>
      <c r="I476" s="83"/>
      <c r="J476" s="83"/>
    </row>
    <row r="477">
      <c r="A477" s="83"/>
      <c r="B477" s="83"/>
      <c r="C477" s="83"/>
      <c r="D477" s="83"/>
      <c r="F477" s="83"/>
      <c r="G477" s="83"/>
      <c r="H477" s="83"/>
      <c r="I477" s="83"/>
      <c r="J477" s="83"/>
    </row>
    <row r="478">
      <c r="A478" s="83"/>
      <c r="B478" s="83"/>
      <c r="C478" s="83"/>
      <c r="D478" s="83"/>
      <c r="F478" s="83"/>
      <c r="G478" s="83"/>
      <c r="H478" s="83"/>
      <c r="I478" s="83"/>
      <c r="J478" s="83"/>
    </row>
    <row r="479">
      <c r="A479" s="83"/>
      <c r="B479" s="83"/>
      <c r="C479" s="83"/>
      <c r="D479" s="83"/>
      <c r="F479" s="83"/>
      <c r="G479" s="83"/>
      <c r="H479" s="83"/>
      <c r="I479" s="83"/>
      <c r="J479" s="83"/>
    </row>
    <row r="480">
      <c r="A480" s="83"/>
      <c r="B480" s="83"/>
      <c r="C480" s="83"/>
      <c r="D480" s="83"/>
      <c r="F480" s="83"/>
      <c r="G480" s="83"/>
      <c r="H480" s="83"/>
      <c r="I480" s="83"/>
      <c r="J480" s="83"/>
    </row>
    <row r="481">
      <c r="A481" s="83"/>
      <c r="B481" s="83"/>
      <c r="C481" s="83"/>
      <c r="D481" s="83"/>
      <c r="F481" s="83"/>
      <c r="G481" s="83"/>
      <c r="H481" s="83"/>
      <c r="I481" s="83"/>
      <c r="J481" s="83"/>
    </row>
    <row r="482">
      <c r="A482" s="83"/>
      <c r="B482" s="83"/>
      <c r="C482" s="83"/>
      <c r="D482" s="83"/>
      <c r="F482" s="83"/>
      <c r="G482" s="83"/>
      <c r="H482" s="83"/>
      <c r="I482" s="83"/>
      <c r="J482" s="83"/>
    </row>
    <row r="483">
      <c r="A483" s="83"/>
      <c r="B483" s="83"/>
      <c r="C483" s="83"/>
      <c r="D483" s="83"/>
      <c r="F483" s="83"/>
      <c r="G483" s="83"/>
      <c r="H483" s="83"/>
      <c r="I483" s="83"/>
      <c r="J483" s="83"/>
    </row>
    <row r="484">
      <c r="A484" s="83"/>
      <c r="B484" s="83"/>
      <c r="C484" s="83"/>
      <c r="D484" s="83"/>
      <c r="F484" s="83"/>
      <c r="G484" s="83"/>
      <c r="H484" s="83"/>
      <c r="I484" s="83"/>
      <c r="J484" s="83"/>
    </row>
    <row r="485">
      <c r="A485" s="83"/>
      <c r="B485" s="83"/>
      <c r="C485" s="83"/>
      <c r="D485" s="83"/>
      <c r="F485" s="83"/>
      <c r="G485" s="83"/>
      <c r="H485" s="83"/>
      <c r="I485" s="83"/>
      <c r="J485" s="83"/>
    </row>
    <row r="486">
      <c r="A486" s="83"/>
      <c r="B486" s="83"/>
      <c r="C486" s="83"/>
      <c r="D486" s="83"/>
      <c r="F486" s="83"/>
      <c r="G486" s="83"/>
      <c r="H486" s="83"/>
      <c r="I486" s="83"/>
      <c r="J486" s="83"/>
    </row>
    <row r="487">
      <c r="A487" s="83"/>
      <c r="B487" s="83"/>
      <c r="C487" s="83"/>
      <c r="D487" s="83"/>
      <c r="F487" s="83"/>
      <c r="G487" s="83"/>
      <c r="H487" s="83"/>
      <c r="I487" s="83"/>
      <c r="J487" s="83"/>
    </row>
    <row r="488">
      <c r="A488" s="83"/>
      <c r="B488" s="83"/>
      <c r="C488" s="83"/>
      <c r="D488" s="83"/>
      <c r="F488" s="83"/>
      <c r="G488" s="83"/>
      <c r="H488" s="83"/>
      <c r="I488" s="83"/>
      <c r="J488" s="83"/>
    </row>
    <row r="489">
      <c r="A489" s="83"/>
      <c r="B489" s="83"/>
      <c r="C489" s="83"/>
      <c r="D489" s="83"/>
      <c r="F489" s="83"/>
      <c r="G489" s="83"/>
      <c r="H489" s="83"/>
      <c r="I489" s="83"/>
      <c r="J489" s="83"/>
    </row>
    <row r="490">
      <c r="A490" s="83"/>
      <c r="B490" s="83"/>
      <c r="C490" s="83"/>
      <c r="D490" s="83"/>
      <c r="F490" s="83"/>
      <c r="G490" s="83"/>
      <c r="H490" s="83"/>
      <c r="I490" s="83"/>
      <c r="J490" s="83"/>
    </row>
    <row r="491">
      <c r="A491" s="83"/>
      <c r="B491" s="83"/>
      <c r="C491" s="83"/>
      <c r="D491" s="83"/>
      <c r="F491" s="83"/>
      <c r="G491" s="83"/>
      <c r="H491" s="83"/>
      <c r="I491" s="83"/>
      <c r="J491" s="83"/>
    </row>
    <row r="492">
      <c r="A492" s="83"/>
      <c r="B492" s="83"/>
      <c r="C492" s="83"/>
      <c r="D492" s="83"/>
      <c r="F492" s="83"/>
      <c r="G492" s="83"/>
      <c r="H492" s="83"/>
      <c r="I492" s="83"/>
      <c r="J492" s="83"/>
    </row>
    <row r="493">
      <c r="A493" s="83"/>
      <c r="B493" s="83"/>
      <c r="C493" s="83"/>
      <c r="D493" s="83"/>
      <c r="F493" s="83"/>
      <c r="G493" s="83"/>
      <c r="H493" s="83"/>
      <c r="I493" s="83"/>
      <c r="J493" s="83"/>
    </row>
    <row r="494">
      <c r="A494" s="83"/>
      <c r="B494" s="83"/>
      <c r="C494" s="83"/>
      <c r="D494" s="83"/>
      <c r="F494" s="83"/>
      <c r="G494" s="83"/>
      <c r="H494" s="83"/>
      <c r="I494" s="83"/>
      <c r="J494" s="83"/>
    </row>
    <row r="495">
      <c r="A495" s="83"/>
      <c r="B495" s="83"/>
      <c r="C495" s="83"/>
      <c r="D495" s="83"/>
      <c r="F495" s="83"/>
      <c r="G495" s="83"/>
      <c r="H495" s="83"/>
      <c r="I495" s="83"/>
      <c r="J495" s="83"/>
    </row>
    <row r="496">
      <c r="A496" s="83"/>
      <c r="B496" s="83"/>
      <c r="C496" s="83"/>
      <c r="D496" s="83"/>
      <c r="F496" s="83"/>
      <c r="G496" s="83"/>
      <c r="H496" s="83"/>
      <c r="I496" s="83"/>
      <c r="J496" s="83"/>
    </row>
    <row r="497">
      <c r="A497" s="83"/>
      <c r="B497" s="83"/>
      <c r="C497" s="83"/>
      <c r="D497" s="83"/>
      <c r="F497" s="83"/>
      <c r="G497" s="83"/>
      <c r="H497" s="83"/>
      <c r="I497" s="83"/>
      <c r="J497" s="83"/>
    </row>
    <row r="498">
      <c r="A498" s="83"/>
      <c r="B498" s="83"/>
      <c r="C498" s="83"/>
      <c r="D498" s="83"/>
      <c r="F498" s="83"/>
      <c r="G498" s="83"/>
      <c r="H498" s="83"/>
      <c r="I498" s="83"/>
      <c r="J498" s="83"/>
    </row>
    <row r="499">
      <c r="A499" s="83"/>
      <c r="B499" s="83"/>
      <c r="C499" s="83"/>
      <c r="D499" s="83"/>
      <c r="F499" s="83"/>
      <c r="G499" s="83"/>
      <c r="H499" s="83"/>
      <c r="I499" s="83"/>
      <c r="J499" s="83"/>
    </row>
    <row r="500">
      <c r="A500" s="83"/>
      <c r="B500" s="83"/>
      <c r="C500" s="83"/>
      <c r="D500" s="83"/>
      <c r="F500" s="83"/>
      <c r="G500" s="83"/>
      <c r="H500" s="83"/>
      <c r="I500" s="83"/>
      <c r="J500" s="83"/>
    </row>
    <row r="501">
      <c r="A501" s="83"/>
      <c r="B501" s="83"/>
      <c r="C501" s="83"/>
      <c r="D501" s="83"/>
      <c r="F501" s="83"/>
      <c r="G501" s="83"/>
      <c r="H501" s="83"/>
      <c r="I501" s="83"/>
      <c r="J501" s="83"/>
    </row>
    <row r="502">
      <c r="A502" s="83"/>
      <c r="B502" s="83"/>
      <c r="C502" s="83"/>
      <c r="D502" s="83"/>
      <c r="F502" s="83"/>
      <c r="G502" s="83"/>
      <c r="H502" s="83"/>
      <c r="I502" s="83"/>
      <c r="J502" s="83"/>
    </row>
    <row r="503">
      <c r="A503" s="83"/>
      <c r="B503" s="83"/>
      <c r="C503" s="83"/>
      <c r="D503" s="83"/>
      <c r="F503" s="83"/>
      <c r="G503" s="83"/>
      <c r="H503" s="83"/>
      <c r="I503" s="83"/>
      <c r="J503" s="83"/>
    </row>
    <row r="504">
      <c r="A504" s="83"/>
      <c r="B504" s="83"/>
      <c r="C504" s="83"/>
      <c r="D504" s="83"/>
      <c r="F504" s="83"/>
      <c r="G504" s="83"/>
      <c r="H504" s="83"/>
      <c r="I504" s="83"/>
      <c r="J504" s="83"/>
    </row>
    <row r="505">
      <c r="A505" s="83"/>
      <c r="B505" s="83"/>
      <c r="C505" s="83"/>
      <c r="D505" s="83"/>
      <c r="F505" s="83"/>
      <c r="G505" s="83"/>
      <c r="H505" s="83"/>
      <c r="I505" s="83"/>
      <c r="J505" s="83"/>
    </row>
    <row r="506">
      <c r="A506" s="83"/>
      <c r="B506" s="83"/>
      <c r="C506" s="83"/>
      <c r="D506" s="83"/>
      <c r="F506" s="83"/>
      <c r="G506" s="83"/>
      <c r="H506" s="83"/>
      <c r="I506" s="83"/>
      <c r="J506" s="83"/>
    </row>
    <row r="507">
      <c r="A507" s="83"/>
      <c r="B507" s="83"/>
      <c r="C507" s="83"/>
      <c r="D507" s="83"/>
      <c r="F507" s="83"/>
      <c r="G507" s="83"/>
      <c r="H507" s="83"/>
      <c r="I507" s="83"/>
      <c r="J507" s="83"/>
    </row>
    <row r="508">
      <c r="A508" s="83"/>
      <c r="B508" s="83"/>
      <c r="C508" s="83"/>
      <c r="D508" s="83"/>
      <c r="F508" s="83"/>
      <c r="G508" s="83"/>
      <c r="H508" s="83"/>
      <c r="I508" s="83"/>
      <c r="J508" s="83"/>
    </row>
    <row r="509">
      <c r="A509" s="83"/>
      <c r="B509" s="83"/>
      <c r="C509" s="83"/>
      <c r="D509" s="83"/>
      <c r="F509" s="83"/>
      <c r="G509" s="83"/>
      <c r="H509" s="83"/>
      <c r="I509" s="83"/>
      <c r="J509" s="83"/>
    </row>
    <row r="510">
      <c r="A510" s="83"/>
      <c r="B510" s="83"/>
      <c r="C510" s="83"/>
      <c r="D510" s="83"/>
      <c r="F510" s="83"/>
      <c r="G510" s="83"/>
      <c r="H510" s="83"/>
      <c r="I510" s="83"/>
      <c r="J510" s="83"/>
    </row>
    <row r="511">
      <c r="A511" s="83"/>
      <c r="B511" s="83"/>
      <c r="C511" s="83"/>
      <c r="D511" s="83"/>
      <c r="F511" s="83"/>
      <c r="G511" s="83"/>
      <c r="H511" s="83"/>
      <c r="I511" s="83"/>
      <c r="J511" s="83"/>
    </row>
    <row r="512">
      <c r="A512" s="83"/>
      <c r="B512" s="83"/>
      <c r="C512" s="83"/>
      <c r="D512" s="83"/>
      <c r="F512" s="83"/>
      <c r="G512" s="83"/>
      <c r="H512" s="83"/>
      <c r="I512" s="83"/>
      <c r="J512" s="83"/>
    </row>
    <row r="513">
      <c r="A513" s="83"/>
      <c r="B513" s="83"/>
      <c r="C513" s="83"/>
      <c r="D513" s="83"/>
      <c r="F513" s="83"/>
      <c r="G513" s="83"/>
      <c r="H513" s="83"/>
      <c r="I513" s="83"/>
      <c r="J513" s="83"/>
    </row>
    <row r="514">
      <c r="A514" s="83"/>
      <c r="B514" s="83"/>
      <c r="C514" s="83"/>
      <c r="D514" s="83"/>
      <c r="F514" s="83"/>
      <c r="G514" s="83"/>
      <c r="H514" s="83"/>
      <c r="I514" s="83"/>
      <c r="J514" s="83"/>
    </row>
    <row r="515">
      <c r="A515" s="83"/>
      <c r="B515" s="83"/>
      <c r="C515" s="83"/>
      <c r="D515" s="83"/>
      <c r="F515" s="83"/>
      <c r="G515" s="83"/>
      <c r="H515" s="83"/>
      <c r="I515" s="83"/>
      <c r="J515" s="83"/>
    </row>
    <row r="516">
      <c r="A516" s="83"/>
      <c r="B516" s="83"/>
      <c r="C516" s="83"/>
      <c r="D516" s="83"/>
      <c r="F516" s="83"/>
      <c r="G516" s="83"/>
      <c r="H516" s="83"/>
      <c r="I516" s="83"/>
      <c r="J516" s="83"/>
    </row>
    <row r="517">
      <c r="A517" s="83"/>
      <c r="B517" s="83"/>
      <c r="C517" s="83"/>
      <c r="D517" s="83"/>
      <c r="F517" s="83"/>
      <c r="G517" s="83"/>
      <c r="H517" s="83"/>
      <c r="I517" s="83"/>
      <c r="J517" s="83"/>
    </row>
    <row r="518">
      <c r="A518" s="83"/>
      <c r="B518" s="83"/>
      <c r="C518" s="83"/>
      <c r="D518" s="83"/>
      <c r="F518" s="83"/>
      <c r="G518" s="83"/>
      <c r="H518" s="83"/>
      <c r="I518" s="83"/>
      <c r="J518" s="83"/>
    </row>
    <row r="519">
      <c r="A519" s="83"/>
      <c r="B519" s="83"/>
      <c r="C519" s="83"/>
      <c r="D519" s="83"/>
      <c r="F519" s="83"/>
      <c r="G519" s="83"/>
      <c r="H519" s="83"/>
      <c r="I519" s="83"/>
      <c r="J519" s="83"/>
    </row>
    <row r="520">
      <c r="A520" s="83"/>
      <c r="B520" s="83"/>
      <c r="C520" s="83"/>
      <c r="D520" s="83"/>
      <c r="F520" s="83"/>
      <c r="G520" s="83"/>
      <c r="H520" s="83"/>
      <c r="I520" s="83"/>
      <c r="J520" s="83"/>
    </row>
    <row r="521">
      <c r="A521" s="83"/>
      <c r="B521" s="83"/>
      <c r="C521" s="83"/>
      <c r="D521" s="83"/>
      <c r="F521" s="83"/>
      <c r="G521" s="83"/>
      <c r="H521" s="83"/>
      <c r="I521" s="83"/>
      <c r="J521" s="83"/>
    </row>
    <row r="522">
      <c r="A522" s="83"/>
      <c r="B522" s="83"/>
      <c r="C522" s="83"/>
      <c r="D522" s="83"/>
      <c r="F522" s="83"/>
      <c r="G522" s="83"/>
      <c r="H522" s="83"/>
      <c r="I522" s="83"/>
      <c r="J522" s="83"/>
    </row>
    <row r="523">
      <c r="A523" s="83"/>
      <c r="B523" s="83"/>
      <c r="C523" s="83"/>
      <c r="D523" s="83"/>
      <c r="F523" s="83"/>
      <c r="G523" s="83"/>
      <c r="H523" s="83"/>
      <c r="I523" s="83"/>
      <c r="J523" s="83"/>
    </row>
    <row r="524">
      <c r="A524" s="83"/>
      <c r="B524" s="83"/>
      <c r="C524" s="83"/>
      <c r="D524" s="83"/>
      <c r="F524" s="83"/>
      <c r="G524" s="83"/>
      <c r="H524" s="83"/>
      <c r="I524" s="83"/>
      <c r="J524" s="83"/>
    </row>
    <row r="525">
      <c r="A525" s="83"/>
      <c r="B525" s="83"/>
      <c r="C525" s="83"/>
      <c r="D525" s="83"/>
      <c r="F525" s="83"/>
      <c r="G525" s="83"/>
      <c r="H525" s="83"/>
      <c r="I525" s="83"/>
      <c r="J525" s="83"/>
    </row>
    <row r="526">
      <c r="A526" s="83"/>
      <c r="B526" s="83"/>
      <c r="C526" s="83"/>
      <c r="D526" s="83"/>
      <c r="F526" s="83"/>
      <c r="G526" s="83"/>
      <c r="H526" s="83"/>
      <c r="I526" s="83"/>
      <c r="J526" s="83"/>
    </row>
    <row r="527">
      <c r="A527" s="83"/>
      <c r="B527" s="83"/>
      <c r="C527" s="83"/>
      <c r="D527" s="83"/>
      <c r="F527" s="83"/>
      <c r="G527" s="83"/>
      <c r="H527" s="83"/>
      <c r="I527" s="83"/>
      <c r="J527" s="83"/>
    </row>
    <row r="528">
      <c r="A528" s="83"/>
      <c r="B528" s="83"/>
      <c r="C528" s="83"/>
      <c r="D528" s="83"/>
      <c r="F528" s="83"/>
      <c r="G528" s="83"/>
      <c r="H528" s="83"/>
      <c r="I528" s="83"/>
      <c r="J528" s="83"/>
    </row>
    <row r="529">
      <c r="A529" s="83"/>
      <c r="B529" s="83"/>
      <c r="C529" s="83"/>
      <c r="D529" s="83"/>
      <c r="F529" s="83"/>
      <c r="G529" s="83"/>
      <c r="H529" s="83"/>
      <c r="I529" s="83"/>
      <c r="J529" s="83"/>
    </row>
    <row r="530">
      <c r="A530" s="83"/>
      <c r="B530" s="83"/>
      <c r="C530" s="83"/>
      <c r="D530" s="83"/>
      <c r="F530" s="83"/>
      <c r="G530" s="83"/>
      <c r="H530" s="83"/>
      <c r="I530" s="83"/>
      <c r="J530" s="83"/>
    </row>
    <row r="531">
      <c r="A531" s="83"/>
      <c r="B531" s="83"/>
      <c r="C531" s="83"/>
      <c r="D531" s="83"/>
      <c r="F531" s="83"/>
      <c r="G531" s="83"/>
      <c r="H531" s="83"/>
      <c r="I531" s="83"/>
      <c r="J531" s="83"/>
    </row>
    <row r="532">
      <c r="A532" s="83"/>
      <c r="B532" s="83"/>
      <c r="C532" s="83"/>
      <c r="D532" s="83"/>
      <c r="F532" s="83"/>
      <c r="G532" s="83"/>
      <c r="H532" s="83"/>
      <c r="I532" s="83"/>
      <c r="J532" s="83"/>
    </row>
    <row r="533">
      <c r="A533" s="83"/>
      <c r="B533" s="83"/>
      <c r="C533" s="83"/>
      <c r="D533" s="83"/>
      <c r="F533" s="83"/>
      <c r="G533" s="83"/>
      <c r="H533" s="83"/>
      <c r="I533" s="83"/>
      <c r="J533" s="83"/>
    </row>
    <row r="534">
      <c r="A534" s="83"/>
      <c r="B534" s="83"/>
      <c r="C534" s="83"/>
      <c r="D534" s="83"/>
      <c r="F534" s="83"/>
      <c r="G534" s="83"/>
      <c r="H534" s="83"/>
      <c r="I534" s="83"/>
      <c r="J534" s="83"/>
    </row>
    <row r="535">
      <c r="A535" s="83"/>
      <c r="B535" s="83"/>
      <c r="C535" s="83"/>
      <c r="D535" s="83"/>
      <c r="F535" s="83"/>
      <c r="G535" s="83"/>
      <c r="H535" s="83"/>
      <c r="I535" s="83"/>
      <c r="J535" s="83"/>
    </row>
    <row r="536">
      <c r="A536" s="83"/>
      <c r="B536" s="83"/>
      <c r="C536" s="83"/>
      <c r="D536" s="83"/>
      <c r="F536" s="83"/>
      <c r="G536" s="83"/>
      <c r="H536" s="83"/>
      <c r="I536" s="83"/>
      <c r="J536" s="83"/>
    </row>
    <row r="537">
      <c r="A537" s="83"/>
      <c r="B537" s="83"/>
      <c r="C537" s="83"/>
      <c r="D537" s="83"/>
      <c r="F537" s="83"/>
      <c r="G537" s="83"/>
      <c r="H537" s="83"/>
      <c r="I537" s="83"/>
      <c r="J537" s="83"/>
    </row>
    <row r="538">
      <c r="A538" s="83"/>
      <c r="B538" s="83"/>
      <c r="C538" s="83"/>
      <c r="D538" s="83"/>
      <c r="F538" s="83"/>
      <c r="G538" s="83"/>
      <c r="H538" s="83"/>
      <c r="I538" s="83"/>
      <c r="J538" s="83"/>
    </row>
    <row r="539">
      <c r="A539" s="83"/>
      <c r="B539" s="83"/>
      <c r="C539" s="83"/>
      <c r="D539" s="83"/>
      <c r="F539" s="83"/>
      <c r="G539" s="83"/>
      <c r="H539" s="83"/>
      <c r="I539" s="83"/>
      <c r="J539" s="83"/>
    </row>
    <row r="540">
      <c r="A540" s="83"/>
      <c r="B540" s="83"/>
      <c r="C540" s="83"/>
      <c r="D540" s="83"/>
      <c r="F540" s="83"/>
      <c r="G540" s="83"/>
      <c r="H540" s="83"/>
      <c r="I540" s="83"/>
      <c r="J540" s="83"/>
    </row>
    <row r="541">
      <c r="A541" s="83"/>
      <c r="B541" s="83"/>
      <c r="C541" s="83"/>
      <c r="D541" s="83"/>
      <c r="F541" s="83"/>
      <c r="G541" s="83"/>
      <c r="H541" s="83"/>
      <c r="I541" s="83"/>
      <c r="J541" s="83"/>
    </row>
    <row r="542">
      <c r="A542" s="83"/>
      <c r="B542" s="83"/>
      <c r="C542" s="83"/>
      <c r="D542" s="83"/>
      <c r="F542" s="83"/>
      <c r="G542" s="83"/>
      <c r="H542" s="83"/>
      <c r="I542" s="83"/>
      <c r="J542" s="83"/>
    </row>
    <row r="543">
      <c r="A543" s="83"/>
      <c r="B543" s="83"/>
      <c r="C543" s="83"/>
      <c r="D543" s="83"/>
      <c r="F543" s="83"/>
      <c r="G543" s="83"/>
      <c r="H543" s="83"/>
      <c r="I543" s="83"/>
      <c r="J543" s="83"/>
    </row>
    <row r="544">
      <c r="A544" s="83"/>
      <c r="B544" s="83"/>
      <c r="C544" s="83"/>
      <c r="D544" s="83"/>
      <c r="F544" s="83"/>
      <c r="G544" s="83"/>
      <c r="H544" s="83"/>
      <c r="I544" s="83"/>
      <c r="J544" s="83"/>
    </row>
    <row r="545">
      <c r="A545" s="83"/>
      <c r="B545" s="83"/>
      <c r="C545" s="83"/>
      <c r="D545" s="83"/>
      <c r="F545" s="83"/>
      <c r="G545" s="83"/>
      <c r="H545" s="83"/>
      <c r="I545" s="83"/>
      <c r="J545" s="83"/>
    </row>
    <row r="546">
      <c r="A546" s="83"/>
      <c r="B546" s="83"/>
      <c r="C546" s="83"/>
      <c r="D546" s="83"/>
      <c r="F546" s="83"/>
      <c r="G546" s="83"/>
      <c r="H546" s="83"/>
      <c r="I546" s="83"/>
      <c r="J546" s="83"/>
    </row>
    <row r="547">
      <c r="A547" s="83"/>
      <c r="B547" s="83"/>
      <c r="C547" s="83"/>
      <c r="D547" s="83"/>
      <c r="F547" s="83"/>
      <c r="G547" s="83"/>
      <c r="H547" s="83"/>
      <c r="I547" s="83"/>
      <c r="J547" s="83"/>
    </row>
    <row r="548">
      <c r="A548" s="83"/>
      <c r="B548" s="83"/>
      <c r="C548" s="83"/>
      <c r="D548" s="83"/>
      <c r="F548" s="83"/>
      <c r="G548" s="83"/>
      <c r="H548" s="83"/>
      <c r="I548" s="83"/>
      <c r="J548" s="83"/>
    </row>
    <row r="549">
      <c r="A549" s="83"/>
      <c r="B549" s="83"/>
      <c r="C549" s="83"/>
      <c r="D549" s="83"/>
      <c r="F549" s="83"/>
      <c r="G549" s="83"/>
      <c r="H549" s="83"/>
      <c r="I549" s="83"/>
      <c r="J549" s="83"/>
    </row>
    <row r="550">
      <c r="A550" s="83"/>
      <c r="B550" s="83"/>
      <c r="C550" s="83"/>
      <c r="D550" s="83"/>
      <c r="F550" s="83"/>
      <c r="G550" s="83"/>
      <c r="H550" s="83"/>
      <c r="I550" s="83"/>
      <c r="J550" s="83"/>
    </row>
    <row r="551">
      <c r="A551" s="83"/>
      <c r="B551" s="83"/>
      <c r="C551" s="83"/>
      <c r="D551" s="83"/>
      <c r="F551" s="83"/>
      <c r="G551" s="83"/>
      <c r="H551" s="83"/>
      <c r="I551" s="83"/>
      <c r="J551" s="83"/>
    </row>
    <row r="552">
      <c r="A552" s="83"/>
      <c r="B552" s="83"/>
      <c r="C552" s="83"/>
      <c r="D552" s="83"/>
      <c r="F552" s="83"/>
      <c r="G552" s="83"/>
      <c r="H552" s="83"/>
      <c r="I552" s="83"/>
      <c r="J552" s="83"/>
    </row>
    <row r="553">
      <c r="A553" s="83"/>
      <c r="B553" s="83"/>
      <c r="C553" s="83"/>
      <c r="D553" s="83"/>
      <c r="F553" s="83"/>
      <c r="G553" s="83"/>
      <c r="H553" s="83"/>
      <c r="I553" s="83"/>
      <c r="J553" s="83"/>
    </row>
    <row r="554">
      <c r="A554" s="83"/>
      <c r="B554" s="83"/>
      <c r="C554" s="83"/>
      <c r="D554" s="83"/>
      <c r="F554" s="83"/>
      <c r="G554" s="83"/>
      <c r="H554" s="83"/>
      <c r="I554" s="83"/>
      <c r="J554" s="83"/>
    </row>
    <row r="555">
      <c r="A555" s="83"/>
      <c r="B555" s="83"/>
      <c r="C555" s="83"/>
      <c r="D555" s="83"/>
      <c r="F555" s="83"/>
      <c r="G555" s="83"/>
      <c r="H555" s="83"/>
      <c r="I555" s="83"/>
      <c r="J555" s="83"/>
    </row>
    <row r="556">
      <c r="A556" s="83"/>
      <c r="B556" s="83"/>
      <c r="C556" s="83"/>
      <c r="D556" s="83"/>
      <c r="F556" s="83"/>
      <c r="G556" s="83"/>
      <c r="H556" s="83"/>
      <c r="I556" s="83"/>
      <c r="J556" s="83"/>
    </row>
    <row r="557">
      <c r="A557" s="83"/>
      <c r="B557" s="83"/>
      <c r="C557" s="83"/>
      <c r="D557" s="83"/>
      <c r="F557" s="83"/>
      <c r="G557" s="83"/>
      <c r="H557" s="83"/>
      <c r="I557" s="83"/>
      <c r="J557" s="83"/>
    </row>
    <row r="558">
      <c r="A558" s="83"/>
      <c r="B558" s="83"/>
      <c r="C558" s="83"/>
      <c r="D558" s="83"/>
      <c r="F558" s="83"/>
      <c r="G558" s="83"/>
      <c r="H558" s="83"/>
      <c r="I558" s="83"/>
      <c r="J558" s="83"/>
    </row>
    <row r="559">
      <c r="A559" s="83"/>
      <c r="B559" s="83"/>
      <c r="C559" s="83"/>
      <c r="D559" s="83"/>
      <c r="F559" s="83"/>
      <c r="G559" s="83"/>
      <c r="H559" s="83"/>
      <c r="I559" s="83"/>
      <c r="J559" s="83"/>
    </row>
    <row r="560">
      <c r="A560" s="83"/>
      <c r="B560" s="83"/>
      <c r="C560" s="83"/>
      <c r="D560" s="83"/>
      <c r="F560" s="83"/>
      <c r="G560" s="83"/>
      <c r="H560" s="83"/>
      <c r="I560" s="83"/>
      <c r="J560" s="83"/>
    </row>
    <row r="561">
      <c r="A561" s="83"/>
      <c r="B561" s="83"/>
      <c r="C561" s="83"/>
      <c r="D561" s="83"/>
      <c r="F561" s="83"/>
      <c r="G561" s="83"/>
      <c r="H561" s="83"/>
      <c r="I561" s="83"/>
      <c r="J561" s="83"/>
    </row>
    <row r="562">
      <c r="A562" s="83"/>
      <c r="B562" s="83"/>
      <c r="C562" s="83"/>
      <c r="D562" s="83"/>
      <c r="F562" s="83"/>
      <c r="G562" s="83"/>
      <c r="H562" s="83"/>
      <c r="I562" s="83"/>
      <c r="J562" s="83"/>
    </row>
    <row r="563">
      <c r="A563" s="83"/>
      <c r="B563" s="83"/>
      <c r="C563" s="83"/>
      <c r="D563" s="83"/>
      <c r="F563" s="83"/>
      <c r="G563" s="83"/>
      <c r="H563" s="83"/>
      <c r="I563" s="83"/>
      <c r="J563" s="83"/>
    </row>
    <row r="564">
      <c r="A564" s="83"/>
      <c r="B564" s="83"/>
      <c r="C564" s="83"/>
      <c r="D564" s="83"/>
      <c r="F564" s="83"/>
      <c r="G564" s="83"/>
      <c r="H564" s="83"/>
      <c r="I564" s="83"/>
      <c r="J564" s="83"/>
    </row>
    <row r="565">
      <c r="A565" s="83"/>
      <c r="B565" s="83"/>
      <c r="C565" s="83"/>
      <c r="D565" s="83"/>
      <c r="F565" s="83"/>
      <c r="G565" s="83"/>
      <c r="H565" s="83"/>
      <c r="I565" s="83"/>
      <c r="J565" s="83"/>
    </row>
    <row r="566">
      <c r="A566" s="83"/>
      <c r="B566" s="83"/>
      <c r="C566" s="83"/>
      <c r="D566" s="83"/>
      <c r="F566" s="83"/>
      <c r="G566" s="83"/>
      <c r="H566" s="83"/>
      <c r="I566" s="83"/>
      <c r="J566" s="83"/>
    </row>
    <row r="567">
      <c r="A567" s="83"/>
      <c r="B567" s="83"/>
      <c r="C567" s="83"/>
      <c r="D567" s="83"/>
      <c r="F567" s="83"/>
      <c r="G567" s="83"/>
      <c r="H567" s="83"/>
      <c r="I567" s="83"/>
      <c r="J567" s="83"/>
    </row>
    <row r="568">
      <c r="A568" s="83"/>
      <c r="B568" s="83"/>
      <c r="C568" s="83"/>
      <c r="D568" s="83"/>
      <c r="F568" s="83"/>
      <c r="G568" s="83"/>
      <c r="H568" s="83"/>
      <c r="I568" s="83"/>
      <c r="J568" s="83"/>
    </row>
    <row r="569">
      <c r="A569" s="83"/>
      <c r="B569" s="83"/>
      <c r="C569" s="83"/>
      <c r="D569" s="83"/>
      <c r="F569" s="83"/>
      <c r="G569" s="83"/>
      <c r="H569" s="83"/>
      <c r="I569" s="83"/>
      <c r="J569" s="83"/>
    </row>
    <row r="570">
      <c r="A570" s="83"/>
      <c r="B570" s="83"/>
      <c r="C570" s="83"/>
      <c r="D570" s="83"/>
      <c r="F570" s="83"/>
      <c r="G570" s="83"/>
      <c r="H570" s="83"/>
      <c r="I570" s="83"/>
      <c r="J570" s="83"/>
    </row>
    <row r="571">
      <c r="A571" s="83"/>
      <c r="B571" s="83"/>
      <c r="C571" s="83"/>
      <c r="D571" s="83"/>
      <c r="F571" s="83"/>
      <c r="G571" s="83"/>
      <c r="H571" s="83"/>
      <c r="I571" s="83"/>
      <c r="J571" s="83"/>
    </row>
    <row r="572">
      <c r="A572" s="83"/>
      <c r="B572" s="83"/>
      <c r="C572" s="83"/>
      <c r="D572" s="83"/>
      <c r="F572" s="83"/>
      <c r="G572" s="83"/>
      <c r="H572" s="83"/>
      <c r="I572" s="83"/>
      <c r="J572" s="83"/>
    </row>
    <row r="573">
      <c r="A573" s="83"/>
      <c r="B573" s="83"/>
      <c r="C573" s="83"/>
      <c r="D573" s="83"/>
      <c r="F573" s="83"/>
      <c r="G573" s="83"/>
      <c r="H573" s="83"/>
      <c r="I573" s="83"/>
      <c r="J573" s="83"/>
    </row>
    <row r="574">
      <c r="A574" s="83"/>
      <c r="B574" s="83"/>
      <c r="C574" s="83"/>
      <c r="D574" s="83"/>
      <c r="F574" s="83"/>
      <c r="G574" s="83"/>
      <c r="H574" s="83"/>
      <c r="I574" s="83"/>
      <c r="J574" s="83"/>
    </row>
    <row r="575">
      <c r="A575" s="83"/>
      <c r="B575" s="83"/>
      <c r="C575" s="83"/>
      <c r="D575" s="83"/>
      <c r="F575" s="83"/>
      <c r="G575" s="83"/>
      <c r="H575" s="83"/>
      <c r="I575" s="83"/>
      <c r="J575" s="83"/>
    </row>
    <row r="576">
      <c r="A576" s="83"/>
      <c r="B576" s="83"/>
      <c r="C576" s="83"/>
      <c r="D576" s="83"/>
      <c r="F576" s="83"/>
      <c r="G576" s="83"/>
      <c r="H576" s="83"/>
      <c r="I576" s="83"/>
      <c r="J576" s="83"/>
    </row>
    <row r="577">
      <c r="A577" s="83"/>
      <c r="B577" s="83"/>
      <c r="C577" s="83"/>
      <c r="D577" s="83"/>
      <c r="F577" s="83"/>
      <c r="G577" s="83"/>
      <c r="H577" s="83"/>
      <c r="I577" s="83"/>
      <c r="J577" s="83"/>
    </row>
    <row r="578">
      <c r="A578" s="83"/>
      <c r="B578" s="83"/>
      <c r="C578" s="83"/>
      <c r="D578" s="83"/>
      <c r="F578" s="83"/>
      <c r="G578" s="83"/>
      <c r="H578" s="83"/>
      <c r="I578" s="83"/>
      <c r="J578" s="83"/>
    </row>
    <row r="579">
      <c r="A579" s="83"/>
      <c r="B579" s="83"/>
      <c r="C579" s="83"/>
      <c r="D579" s="83"/>
      <c r="F579" s="83"/>
      <c r="G579" s="83"/>
      <c r="H579" s="83"/>
      <c r="I579" s="83"/>
      <c r="J579" s="83"/>
    </row>
    <row r="580">
      <c r="A580" s="83"/>
      <c r="B580" s="83"/>
      <c r="C580" s="83"/>
      <c r="D580" s="83"/>
      <c r="F580" s="83"/>
      <c r="G580" s="83"/>
      <c r="H580" s="83"/>
      <c r="I580" s="83"/>
      <c r="J580" s="83"/>
    </row>
    <row r="581">
      <c r="A581" s="83"/>
      <c r="B581" s="83"/>
      <c r="C581" s="83"/>
      <c r="D581" s="83"/>
      <c r="F581" s="83"/>
      <c r="G581" s="83"/>
      <c r="H581" s="83"/>
      <c r="I581" s="83"/>
      <c r="J581" s="83"/>
    </row>
    <row r="582">
      <c r="A582" s="83"/>
      <c r="B582" s="83"/>
      <c r="C582" s="83"/>
      <c r="D582" s="83"/>
      <c r="F582" s="83"/>
      <c r="G582" s="83"/>
      <c r="H582" s="83"/>
      <c r="I582" s="83"/>
      <c r="J582" s="83"/>
    </row>
    <row r="583">
      <c r="A583" s="83"/>
      <c r="B583" s="83"/>
      <c r="C583" s="83"/>
      <c r="D583" s="83"/>
      <c r="F583" s="83"/>
      <c r="G583" s="83"/>
      <c r="H583" s="83"/>
      <c r="I583" s="83"/>
      <c r="J583" s="83"/>
    </row>
    <row r="584">
      <c r="A584" s="83"/>
      <c r="B584" s="83"/>
      <c r="C584" s="83"/>
      <c r="D584" s="83"/>
      <c r="F584" s="83"/>
      <c r="G584" s="83"/>
      <c r="H584" s="83"/>
      <c r="I584" s="83"/>
      <c r="J584" s="83"/>
    </row>
    <row r="585">
      <c r="A585" s="83"/>
      <c r="B585" s="83"/>
      <c r="C585" s="83"/>
      <c r="D585" s="83"/>
      <c r="F585" s="83"/>
      <c r="G585" s="83"/>
      <c r="H585" s="83"/>
      <c r="I585" s="83"/>
      <c r="J585" s="83"/>
    </row>
    <row r="586">
      <c r="A586" s="83"/>
      <c r="B586" s="83"/>
      <c r="C586" s="83"/>
      <c r="D586" s="83"/>
      <c r="F586" s="83"/>
      <c r="G586" s="83"/>
      <c r="H586" s="83"/>
      <c r="I586" s="83"/>
      <c r="J586" s="83"/>
    </row>
    <row r="587">
      <c r="A587" s="83"/>
      <c r="B587" s="83"/>
      <c r="C587" s="83"/>
      <c r="D587" s="83"/>
      <c r="F587" s="83"/>
      <c r="G587" s="83"/>
      <c r="H587" s="83"/>
      <c r="I587" s="83"/>
      <c r="J587" s="83"/>
    </row>
    <row r="588">
      <c r="A588" s="83"/>
      <c r="B588" s="83"/>
      <c r="C588" s="83"/>
      <c r="D588" s="83"/>
      <c r="F588" s="83"/>
      <c r="G588" s="83"/>
      <c r="H588" s="83"/>
      <c r="I588" s="83"/>
      <c r="J588" s="83"/>
    </row>
    <row r="589">
      <c r="A589" s="83"/>
      <c r="B589" s="83"/>
      <c r="C589" s="83"/>
      <c r="D589" s="83"/>
      <c r="F589" s="83"/>
      <c r="G589" s="83"/>
      <c r="H589" s="83"/>
      <c r="I589" s="83"/>
      <c r="J589" s="83"/>
    </row>
    <row r="590">
      <c r="A590" s="83"/>
      <c r="B590" s="83"/>
      <c r="C590" s="83"/>
      <c r="D590" s="83"/>
      <c r="F590" s="83"/>
      <c r="G590" s="83"/>
      <c r="H590" s="83"/>
      <c r="I590" s="83"/>
      <c r="J590" s="83"/>
    </row>
    <row r="591">
      <c r="A591" s="83"/>
      <c r="B591" s="83"/>
      <c r="C591" s="83"/>
      <c r="D591" s="83"/>
      <c r="F591" s="83"/>
      <c r="G591" s="83"/>
      <c r="H591" s="83"/>
      <c r="I591" s="83"/>
      <c r="J591" s="83"/>
    </row>
    <row r="592">
      <c r="A592" s="83"/>
      <c r="B592" s="83"/>
      <c r="C592" s="83"/>
      <c r="D592" s="83"/>
      <c r="F592" s="83"/>
      <c r="G592" s="83"/>
      <c r="H592" s="83"/>
      <c r="I592" s="83"/>
      <c r="J592" s="83"/>
    </row>
    <row r="593">
      <c r="A593" s="83"/>
      <c r="B593" s="83"/>
      <c r="C593" s="83"/>
      <c r="D593" s="83"/>
      <c r="F593" s="83"/>
      <c r="G593" s="83"/>
      <c r="H593" s="83"/>
      <c r="I593" s="83"/>
      <c r="J593" s="83"/>
    </row>
    <row r="594">
      <c r="A594" s="83"/>
      <c r="B594" s="83"/>
      <c r="C594" s="83"/>
      <c r="D594" s="83"/>
      <c r="F594" s="83"/>
      <c r="G594" s="83"/>
      <c r="H594" s="83"/>
      <c r="I594" s="83"/>
      <c r="J594" s="83"/>
    </row>
    <row r="595">
      <c r="A595" s="83"/>
      <c r="B595" s="83"/>
      <c r="C595" s="83"/>
      <c r="D595" s="83"/>
      <c r="F595" s="83"/>
      <c r="G595" s="83"/>
      <c r="H595" s="83"/>
      <c r="I595" s="83"/>
      <c r="J595" s="83"/>
    </row>
    <row r="596">
      <c r="A596" s="83"/>
      <c r="B596" s="83"/>
      <c r="C596" s="83"/>
      <c r="D596" s="83"/>
      <c r="F596" s="83"/>
      <c r="G596" s="83"/>
      <c r="H596" s="83"/>
      <c r="I596" s="83"/>
      <c r="J596" s="83"/>
    </row>
    <row r="597">
      <c r="A597" s="83"/>
      <c r="B597" s="83"/>
      <c r="C597" s="83"/>
      <c r="D597" s="83"/>
      <c r="F597" s="83"/>
      <c r="G597" s="83"/>
      <c r="H597" s="83"/>
      <c r="I597" s="83"/>
      <c r="J597" s="83"/>
    </row>
    <row r="598">
      <c r="A598" s="83"/>
      <c r="B598" s="83"/>
      <c r="C598" s="83"/>
      <c r="D598" s="83"/>
      <c r="F598" s="83"/>
      <c r="G598" s="83"/>
      <c r="H598" s="83"/>
      <c r="I598" s="83"/>
      <c r="J598" s="83"/>
    </row>
    <row r="599">
      <c r="A599" s="83"/>
      <c r="B599" s="83"/>
      <c r="C599" s="83"/>
      <c r="D599" s="83"/>
      <c r="F599" s="83"/>
      <c r="G599" s="83"/>
      <c r="H599" s="83"/>
      <c r="I599" s="83"/>
      <c r="J599" s="83"/>
    </row>
    <row r="600">
      <c r="A600" s="83"/>
      <c r="B600" s="83"/>
      <c r="C600" s="83"/>
      <c r="D600" s="83"/>
      <c r="F600" s="83"/>
      <c r="G600" s="83"/>
      <c r="H600" s="83"/>
      <c r="I600" s="83"/>
      <c r="J600" s="83"/>
    </row>
    <row r="601">
      <c r="A601" s="83"/>
      <c r="B601" s="83"/>
      <c r="C601" s="83"/>
      <c r="D601" s="83"/>
      <c r="F601" s="83"/>
      <c r="G601" s="83"/>
      <c r="H601" s="83"/>
      <c r="I601" s="83"/>
      <c r="J601" s="83"/>
    </row>
    <row r="602">
      <c r="A602" s="83"/>
      <c r="B602" s="83"/>
      <c r="C602" s="83"/>
      <c r="D602" s="83"/>
      <c r="F602" s="83"/>
      <c r="G602" s="83"/>
      <c r="H602" s="83"/>
      <c r="I602" s="83"/>
      <c r="J602" s="83"/>
    </row>
    <row r="603">
      <c r="A603" s="83"/>
      <c r="B603" s="83"/>
      <c r="C603" s="83"/>
      <c r="D603" s="83"/>
      <c r="F603" s="83"/>
      <c r="G603" s="83"/>
      <c r="H603" s="83"/>
      <c r="I603" s="83"/>
      <c r="J603" s="83"/>
    </row>
    <row r="604">
      <c r="A604" s="83"/>
      <c r="B604" s="83"/>
      <c r="C604" s="83"/>
      <c r="D604" s="83"/>
      <c r="F604" s="83"/>
      <c r="G604" s="83"/>
      <c r="H604" s="83"/>
      <c r="I604" s="83"/>
      <c r="J604" s="83"/>
    </row>
    <row r="605">
      <c r="A605" s="83"/>
      <c r="B605" s="83"/>
      <c r="C605" s="83"/>
      <c r="D605" s="83"/>
      <c r="F605" s="83"/>
      <c r="G605" s="83"/>
      <c r="H605" s="83"/>
      <c r="I605" s="83"/>
      <c r="J605" s="83"/>
    </row>
    <row r="606">
      <c r="A606" s="83"/>
      <c r="B606" s="83"/>
      <c r="C606" s="83"/>
      <c r="D606" s="83"/>
      <c r="F606" s="83"/>
      <c r="G606" s="83"/>
      <c r="H606" s="83"/>
      <c r="I606" s="83"/>
      <c r="J606" s="83"/>
    </row>
    <row r="607">
      <c r="A607" s="83"/>
      <c r="B607" s="83"/>
      <c r="C607" s="83"/>
      <c r="D607" s="83"/>
      <c r="F607" s="83"/>
      <c r="G607" s="83"/>
      <c r="H607" s="83"/>
      <c r="I607" s="83"/>
      <c r="J607" s="83"/>
    </row>
    <row r="608">
      <c r="A608" s="83"/>
      <c r="B608" s="83"/>
      <c r="C608" s="83"/>
      <c r="D608" s="83"/>
      <c r="F608" s="83"/>
      <c r="G608" s="83"/>
      <c r="H608" s="83"/>
      <c r="I608" s="83"/>
      <c r="J608" s="83"/>
    </row>
    <row r="609">
      <c r="A609" s="83"/>
      <c r="B609" s="83"/>
      <c r="C609" s="83"/>
      <c r="D609" s="83"/>
      <c r="F609" s="83"/>
      <c r="G609" s="83"/>
      <c r="H609" s="83"/>
      <c r="I609" s="83"/>
      <c r="J609" s="83"/>
    </row>
    <row r="610">
      <c r="A610" s="83"/>
      <c r="B610" s="83"/>
      <c r="C610" s="83"/>
      <c r="D610" s="83"/>
      <c r="F610" s="83"/>
      <c r="G610" s="83"/>
      <c r="H610" s="83"/>
      <c r="I610" s="83"/>
      <c r="J610" s="83"/>
    </row>
    <row r="611">
      <c r="A611" s="83"/>
      <c r="B611" s="83"/>
      <c r="C611" s="83"/>
      <c r="D611" s="83"/>
      <c r="F611" s="83"/>
      <c r="G611" s="83"/>
      <c r="H611" s="83"/>
      <c r="I611" s="83"/>
      <c r="J611" s="83"/>
    </row>
    <row r="612">
      <c r="A612" s="83"/>
      <c r="B612" s="83"/>
      <c r="C612" s="83"/>
      <c r="D612" s="83"/>
      <c r="F612" s="83"/>
      <c r="G612" s="83"/>
      <c r="H612" s="83"/>
      <c r="I612" s="83"/>
      <c r="J612" s="83"/>
    </row>
    <row r="613">
      <c r="A613" s="83"/>
      <c r="B613" s="83"/>
      <c r="C613" s="83"/>
      <c r="D613" s="83"/>
      <c r="F613" s="83"/>
      <c r="G613" s="83"/>
      <c r="H613" s="83"/>
      <c r="I613" s="83"/>
      <c r="J613" s="83"/>
    </row>
    <row r="614">
      <c r="A614" s="83"/>
      <c r="B614" s="83"/>
      <c r="C614" s="83"/>
      <c r="D614" s="83"/>
      <c r="F614" s="83"/>
      <c r="G614" s="83"/>
      <c r="H614" s="83"/>
      <c r="I614" s="83"/>
      <c r="J614" s="83"/>
    </row>
    <row r="615">
      <c r="A615" s="83"/>
      <c r="B615" s="83"/>
      <c r="C615" s="83"/>
      <c r="D615" s="83"/>
      <c r="F615" s="83"/>
      <c r="G615" s="83"/>
      <c r="H615" s="83"/>
      <c r="I615" s="83"/>
      <c r="J615" s="83"/>
    </row>
    <row r="616">
      <c r="A616" s="83"/>
      <c r="B616" s="83"/>
      <c r="C616" s="83"/>
      <c r="D616" s="83"/>
      <c r="F616" s="83"/>
      <c r="G616" s="83"/>
      <c r="H616" s="83"/>
      <c r="I616" s="83"/>
      <c r="J616" s="83"/>
    </row>
    <row r="617">
      <c r="A617" s="83"/>
      <c r="B617" s="83"/>
      <c r="C617" s="83"/>
      <c r="D617" s="83"/>
      <c r="F617" s="83"/>
      <c r="G617" s="83"/>
      <c r="H617" s="83"/>
      <c r="I617" s="83"/>
      <c r="J617" s="83"/>
    </row>
    <row r="618">
      <c r="A618" s="83"/>
      <c r="B618" s="83"/>
      <c r="C618" s="83"/>
      <c r="D618" s="83"/>
      <c r="F618" s="83"/>
      <c r="G618" s="83"/>
      <c r="H618" s="83"/>
      <c r="I618" s="83"/>
      <c r="J618" s="83"/>
    </row>
    <row r="619">
      <c r="A619" s="83"/>
      <c r="B619" s="83"/>
      <c r="C619" s="83"/>
      <c r="D619" s="83"/>
      <c r="F619" s="83"/>
      <c r="G619" s="83"/>
      <c r="H619" s="83"/>
      <c r="I619" s="83"/>
      <c r="J619" s="83"/>
    </row>
    <row r="620">
      <c r="A620" s="83"/>
      <c r="B620" s="83"/>
      <c r="C620" s="83"/>
      <c r="D620" s="83"/>
      <c r="F620" s="83"/>
      <c r="G620" s="83"/>
      <c r="H620" s="83"/>
      <c r="I620" s="83"/>
      <c r="J620" s="83"/>
    </row>
    <row r="621">
      <c r="A621" s="83"/>
      <c r="B621" s="83"/>
      <c r="C621" s="83"/>
      <c r="D621" s="83"/>
      <c r="F621" s="83"/>
      <c r="G621" s="83"/>
      <c r="H621" s="83"/>
      <c r="I621" s="83"/>
      <c r="J621" s="83"/>
    </row>
    <row r="622">
      <c r="A622" s="83"/>
      <c r="B622" s="83"/>
      <c r="C622" s="83"/>
      <c r="D622" s="83"/>
      <c r="F622" s="83"/>
      <c r="G622" s="83"/>
      <c r="H622" s="83"/>
      <c r="I622" s="83"/>
      <c r="J622" s="83"/>
    </row>
    <row r="623">
      <c r="A623" s="83"/>
      <c r="B623" s="83"/>
      <c r="C623" s="83"/>
      <c r="D623" s="83"/>
      <c r="F623" s="83"/>
      <c r="G623" s="83"/>
      <c r="H623" s="83"/>
      <c r="I623" s="83"/>
      <c r="J623" s="83"/>
    </row>
    <row r="624">
      <c r="A624" s="83"/>
      <c r="B624" s="83"/>
      <c r="C624" s="83"/>
      <c r="D624" s="83"/>
      <c r="F624" s="83"/>
      <c r="G624" s="83"/>
      <c r="H624" s="83"/>
      <c r="I624" s="83"/>
      <c r="J624" s="83"/>
    </row>
    <row r="625">
      <c r="A625" s="83"/>
      <c r="B625" s="83"/>
      <c r="C625" s="83"/>
      <c r="D625" s="83"/>
      <c r="F625" s="83"/>
      <c r="G625" s="83"/>
      <c r="H625" s="83"/>
      <c r="I625" s="83"/>
      <c r="J625" s="83"/>
    </row>
    <row r="626">
      <c r="A626" s="83"/>
      <c r="B626" s="83"/>
      <c r="C626" s="83"/>
      <c r="D626" s="83"/>
      <c r="F626" s="83"/>
      <c r="G626" s="83"/>
      <c r="H626" s="83"/>
      <c r="I626" s="83"/>
      <c r="J626" s="83"/>
    </row>
    <row r="627">
      <c r="A627" s="83"/>
      <c r="B627" s="83"/>
      <c r="C627" s="83"/>
      <c r="D627" s="83"/>
      <c r="F627" s="83"/>
      <c r="G627" s="83"/>
      <c r="H627" s="83"/>
      <c r="I627" s="83"/>
      <c r="J627" s="83"/>
    </row>
    <row r="628">
      <c r="A628" s="83"/>
      <c r="B628" s="83"/>
      <c r="C628" s="83"/>
      <c r="D628" s="83"/>
      <c r="F628" s="83"/>
      <c r="G628" s="83"/>
      <c r="H628" s="83"/>
      <c r="I628" s="83"/>
      <c r="J628" s="83"/>
    </row>
    <row r="629">
      <c r="A629" s="83"/>
      <c r="B629" s="83"/>
      <c r="C629" s="83"/>
      <c r="D629" s="83"/>
      <c r="F629" s="83"/>
      <c r="G629" s="83"/>
      <c r="H629" s="83"/>
      <c r="I629" s="83"/>
      <c r="J629" s="83"/>
    </row>
    <row r="630">
      <c r="A630" s="83"/>
      <c r="B630" s="83"/>
      <c r="C630" s="83"/>
      <c r="D630" s="83"/>
      <c r="F630" s="83"/>
      <c r="G630" s="83"/>
      <c r="H630" s="83"/>
      <c r="I630" s="83"/>
      <c r="J630" s="83"/>
    </row>
    <row r="631">
      <c r="A631" s="83"/>
      <c r="B631" s="83"/>
      <c r="C631" s="83"/>
      <c r="D631" s="83"/>
      <c r="F631" s="83"/>
      <c r="G631" s="83"/>
      <c r="H631" s="83"/>
      <c r="I631" s="83"/>
      <c r="J631" s="83"/>
    </row>
    <row r="632">
      <c r="A632" s="83"/>
      <c r="B632" s="83"/>
      <c r="C632" s="83"/>
      <c r="D632" s="83"/>
      <c r="F632" s="83"/>
      <c r="G632" s="83"/>
      <c r="H632" s="83"/>
      <c r="I632" s="83"/>
      <c r="J632" s="83"/>
    </row>
    <row r="633">
      <c r="A633" s="83"/>
      <c r="B633" s="83"/>
      <c r="C633" s="83"/>
      <c r="D633" s="83"/>
      <c r="F633" s="83"/>
      <c r="G633" s="83"/>
      <c r="H633" s="83"/>
      <c r="I633" s="83"/>
      <c r="J633" s="83"/>
    </row>
    <row r="634">
      <c r="A634" s="83"/>
      <c r="B634" s="83"/>
      <c r="C634" s="83"/>
      <c r="D634" s="83"/>
      <c r="F634" s="83"/>
      <c r="G634" s="83"/>
      <c r="H634" s="83"/>
      <c r="I634" s="83"/>
      <c r="J634" s="83"/>
    </row>
    <row r="635">
      <c r="A635" s="83"/>
      <c r="B635" s="83"/>
      <c r="C635" s="83"/>
      <c r="D635" s="83"/>
      <c r="F635" s="83"/>
      <c r="G635" s="83"/>
      <c r="H635" s="83"/>
      <c r="I635" s="83"/>
      <c r="J635" s="83"/>
    </row>
    <row r="636">
      <c r="A636" s="83"/>
      <c r="B636" s="83"/>
      <c r="C636" s="83"/>
      <c r="D636" s="83"/>
      <c r="F636" s="83"/>
      <c r="G636" s="83"/>
      <c r="H636" s="83"/>
      <c r="I636" s="83"/>
      <c r="J636" s="83"/>
    </row>
    <row r="637">
      <c r="A637" s="83"/>
      <c r="B637" s="83"/>
      <c r="C637" s="83"/>
      <c r="D637" s="83"/>
      <c r="F637" s="83"/>
      <c r="G637" s="83"/>
      <c r="H637" s="83"/>
      <c r="I637" s="83"/>
      <c r="J637" s="83"/>
    </row>
    <row r="638">
      <c r="A638" s="83"/>
      <c r="B638" s="83"/>
      <c r="C638" s="83"/>
      <c r="D638" s="83"/>
      <c r="F638" s="83"/>
      <c r="G638" s="83"/>
      <c r="H638" s="83"/>
      <c r="I638" s="83"/>
      <c r="J638" s="83"/>
    </row>
    <row r="639">
      <c r="A639" s="83"/>
      <c r="B639" s="83"/>
      <c r="C639" s="83"/>
      <c r="D639" s="83"/>
      <c r="F639" s="83"/>
      <c r="G639" s="83"/>
      <c r="H639" s="83"/>
      <c r="I639" s="83"/>
      <c r="J639" s="83"/>
    </row>
    <row r="640">
      <c r="A640" s="83"/>
      <c r="B640" s="83"/>
      <c r="C640" s="83"/>
      <c r="D640" s="83"/>
      <c r="F640" s="83"/>
      <c r="G640" s="83"/>
      <c r="H640" s="83"/>
      <c r="I640" s="83"/>
      <c r="J640" s="83"/>
    </row>
    <row r="641">
      <c r="A641" s="83"/>
      <c r="B641" s="83"/>
      <c r="C641" s="83"/>
      <c r="D641" s="83"/>
      <c r="F641" s="83"/>
      <c r="G641" s="83"/>
      <c r="H641" s="83"/>
      <c r="I641" s="83"/>
      <c r="J641" s="83"/>
    </row>
    <row r="642">
      <c r="A642" s="83"/>
      <c r="B642" s="83"/>
      <c r="C642" s="83"/>
      <c r="D642" s="83"/>
      <c r="F642" s="83"/>
      <c r="G642" s="83"/>
      <c r="H642" s="83"/>
      <c r="I642" s="83"/>
      <c r="J642" s="83"/>
    </row>
    <row r="643">
      <c r="A643" s="83"/>
      <c r="B643" s="83"/>
      <c r="C643" s="83"/>
      <c r="D643" s="83"/>
      <c r="F643" s="83"/>
      <c r="G643" s="83"/>
      <c r="H643" s="83"/>
      <c r="I643" s="83"/>
      <c r="J643" s="83"/>
    </row>
    <row r="644">
      <c r="A644" s="83"/>
      <c r="B644" s="83"/>
      <c r="C644" s="83"/>
      <c r="D644" s="83"/>
      <c r="F644" s="83"/>
      <c r="G644" s="83"/>
      <c r="H644" s="83"/>
      <c r="I644" s="83"/>
      <c r="J644" s="83"/>
    </row>
    <row r="645">
      <c r="A645" s="83"/>
      <c r="B645" s="83"/>
      <c r="C645" s="83"/>
      <c r="D645" s="83"/>
      <c r="F645" s="83"/>
      <c r="G645" s="83"/>
      <c r="H645" s="83"/>
      <c r="I645" s="83"/>
      <c r="J645" s="83"/>
    </row>
    <row r="646">
      <c r="A646" s="83"/>
      <c r="B646" s="83"/>
      <c r="C646" s="83"/>
      <c r="D646" s="83"/>
      <c r="F646" s="83"/>
      <c r="G646" s="83"/>
      <c r="H646" s="83"/>
      <c r="I646" s="83"/>
      <c r="J646" s="83"/>
    </row>
    <row r="647">
      <c r="A647" s="83"/>
      <c r="B647" s="83"/>
      <c r="C647" s="83"/>
      <c r="D647" s="83"/>
      <c r="F647" s="83"/>
      <c r="G647" s="83"/>
      <c r="H647" s="83"/>
      <c r="I647" s="83"/>
      <c r="J647" s="83"/>
    </row>
    <row r="648">
      <c r="A648" s="83"/>
      <c r="B648" s="83"/>
      <c r="C648" s="83"/>
      <c r="D648" s="83"/>
      <c r="F648" s="83"/>
      <c r="G648" s="83"/>
      <c r="H648" s="83"/>
      <c r="I648" s="83"/>
      <c r="J648" s="83"/>
    </row>
    <row r="649">
      <c r="A649" s="83"/>
      <c r="B649" s="83"/>
      <c r="C649" s="83"/>
      <c r="D649" s="83"/>
      <c r="F649" s="83"/>
      <c r="G649" s="83"/>
      <c r="H649" s="83"/>
      <c r="I649" s="83"/>
      <c r="J649" s="83"/>
    </row>
    <row r="650">
      <c r="A650" s="83"/>
      <c r="B650" s="83"/>
      <c r="C650" s="83"/>
      <c r="D650" s="83"/>
      <c r="F650" s="83"/>
      <c r="G650" s="83"/>
      <c r="H650" s="83"/>
      <c r="I650" s="83"/>
      <c r="J650" s="83"/>
    </row>
    <row r="651">
      <c r="A651" s="83"/>
      <c r="B651" s="83"/>
      <c r="C651" s="83"/>
      <c r="D651" s="83"/>
      <c r="F651" s="83"/>
      <c r="G651" s="83"/>
      <c r="H651" s="83"/>
      <c r="I651" s="83"/>
      <c r="J651" s="83"/>
    </row>
    <row r="652">
      <c r="A652" s="83"/>
      <c r="B652" s="83"/>
      <c r="C652" s="83"/>
      <c r="D652" s="83"/>
      <c r="F652" s="83"/>
      <c r="G652" s="83"/>
      <c r="H652" s="83"/>
      <c r="I652" s="83"/>
      <c r="J652" s="83"/>
    </row>
    <row r="653">
      <c r="A653" s="83"/>
      <c r="B653" s="83"/>
      <c r="C653" s="83"/>
      <c r="D653" s="83"/>
      <c r="F653" s="83"/>
      <c r="G653" s="83"/>
      <c r="H653" s="83"/>
      <c r="I653" s="83"/>
      <c r="J653" s="83"/>
    </row>
    <row r="654">
      <c r="A654" s="83"/>
      <c r="B654" s="83"/>
      <c r="C654" s="83"/>
      <c r="D654" s="83"/>
      <c r="F654" s="83"/>
      <c r="G654" s="83"/>
      <c r="H654" s="83"/>
      <c r="I654" s="83"/>
      <c r="J654" s="83"/>
    </row>
    <row r="655">
      <c r="A655" s="83"/>
      <c r="B655" s="83"/>
      <c r="C655" s="83"/>
      <c r="D655" s="83"/>
      <c r="F655" s="83"/>
      <c r="G655" s="83"/>
      <c r="H655" s="83"/>
      <c r="I655" s="83"/>
      <c r="J655" s="83"/>
    </row>
    <row r="656">
      <c r="A656" s="83"/>
      <c r="B656" s="83"/>
      <c r="C656" s="83"/>
      <c r="D656" s="83"/>
      <c r="F656" s="83"/>
      <c r="G656" s="83"/>
      <c r="H656" s="83"/>
      <c r="I656" s="83"/>
      <c r="J656" s="83"/>
    </row>
    <row r="657">
      <c r="A657" s="83"/>
      <c r="B657" s="83"/>
      <c r="C657" s="83"/>
      <c r="D657" s="83"/>
      <c r="F657" s="83"/>
      <c r="G657" s="83"/>
      <c r="H657" s="83"/>
      <c r="I657" s="83"/>
      <c r="J657" s="83"/>
    </row>
    <row r="658">
      <c r="A658" s="83"/>
      <c r="B658" s="83"/>
      <c r="C658" s="83"/>
      <c r="D658" s="83"/>
      <c r="F658" s="83"/>
      <c r="G658" s="83"/>
      <c r="H658" s="83"/>
      <c r="I658" s="83"/>
      <c r="J658" s="83"/>
    </row>
    <row r="659">
      <c r="A659" s="83"/>
      <c r="B659" s="83"/>
      <c r="C659" s="83"/>
      <c r="D659" s="83"/>
      <c r="F659" s="83"/>
      <c r="G659" s="83"/>
      <c r="H659" s="83"/>
      <c r="I659" s="83"/>
      <c r="J659" s="83"/>
    </row>
    <row r="660">
      <c r="A660" s="83"/>
      <c r="B660" s="83"/>
      <c r="C660" s="83"/>
      <c r="D660" s="83"/>
      <c r="F660" s="83"/>
      <c r="G660" s="83"/>
      <c r="H660" s="83"/>
      <c r="I660" s="83"/>
      <c r="J660" s="83"/>
    </row>
    <row r="661">
      <c r="A661" s="83"/>
      <c r="B661" s="83"/>
      <c r="C661" s="83"/>
      <c r="D661" s="83"/>
      <c r="F661" s="83"/>
      <c r="G661" s="83"/>
      <c r="H661" s="83"/>
      <c r="I661" s="83"/>
      <c r="J661" s="83"/>
    </row>
    <row r="662">
      <c r="A662" s="83"/>
      <c r="B662" s="83"/>
      <c r="C662" s="83"/>
      <c r="D662" s="83"/>
      <c r="F662" s="83"/>
      <c r="G662" s="83"/>
      <c r="H662" s="83"/>
      <c r="I662" s="83"/>
      <c r="J662" s="83"/>
    </row>
    <row r="663">
      <c r="A663" s="83"/>
      <c r="B663" s="83"/>
      <c r="C663" s="83"/>
      <c r="D663" s="83"/>
      <c r="F663" s="83"/>
      <c r="G663" s="83"/>
      <c r="H663" s="83"/>
      <c r="I663" s="83"/>
      <c r="J663" s="83"/>
    </row>
    <row r="664">
      <c r="A664" s="83"/>
      <c r="B664" s="83"/>
      <c r="C664" s="83"/>
      <c r="D664" s="83"/>
      <c r="F664" s="83"/>
      <c r="G664" s="83"/>
      <c r="H664" s="83"/>
      <c r="I664" s="83"/>
      <c r="J664" s="83"/>
    </row>
    <row r="665">
      <c r="A665" s="83"/>
      <c r="B665" s="83"/>
      <c r="C665" s="83"/>
      <c r="D665" s="83"/>
      <c r="F665" s="83"/>
      <c r="G665" s="83"/>
      <c r="H665" s="83"/>
      <c r="I665" s="83"/>
      <c r="J665" s="83"/>
    </row>
    <row r="666">
      <c r="A666" s="83"/>
      <c r="B666" s="83"/>
      <c r="C666" s="83"/>
      <c r="D666" s="83"/>
      <c r="F666" s="83"/>
      <c r="G666" s="83"/>
      <c r="H666" s="83"/>
      <c r="I666" s="83"/>
      <c r="J666" s="83"/>
    </row>
    <row r="667">
      <c r="A667" s="83"/>
      <c r="B667" s="83"/>
      <c r="C667" s="83"/>
      <c r="D667" s="83"/>
      <c r="F667" s="83"/>
      <c r="G667" s="83"/>
      <c r="H667" s="83"/>
      <c r="I667" s="83"/>
      <c r="J667" s="83"/>
    </row>
    <row r="668">
      <c r="A668" s="83"/>
      <c r="B668" s="83"/>
      <c r="C668" s="83"/>
      <c r="D668" s="83"/>
      <c r="F668" s="83"/>
      <c r="G668" s="83"/>
      <c r="H668" s="83"/>
      <c r="I668" s="83"/>
      <c r="J668" s="83"/>
    </row>
    <row r="669">
      <c r="A669" s="83"/>
      <c r="B669" s="83"/>
      <c r="C669" s="83"/>
      <c r="D669" s="83"/>
      <c r="F669" s="83"/>
      <c r="G669" s="83"/>
      <c r="H669" s="83"/>
      <c r="I669" s="83"/>
      <c r="J669" s="83"/>
    </row>
    <row r="670">
      <c r="A670" s="83"/>
      <c r="B670" s="83"/>
      <c r="C670" s="83"/>
      <c r="D670" s="83"/>
      <c r="F670" s="83"/>
      <c r="G670" s="83"/>
      <c r="H670" s="83"/>
      <c r="I670" s="83"/>
      <c r="J670" s="83"/>
    </row>
    <row r="671">
      <c r="A671" s="83"/>
      <c r="B671" s="83"/>
      <c r="C671" s="83"/>
      <c r="D671" s="83"/>
      <c r="F671" s="83"/>
      <c r="G671" s="83"/>
      <c r="H671" s="83"/>
      <c r="I671" s="83"/>
      <c r="J671" s="83"/>
    </row>
    <row r="672">
      <c r="A672" s="83"/>
      <c r="B672" s="83"/>
      <c r="C672" s="83"/>
      <c r="D672" s="83"/>
      <c r="F672" s="83"/>
      <c r="G672" s="83"/>
      <c r="H672" s="83"/>
      <c r="I672" s="83"/>
      <c r="J672" s="83"/>
    </row>
    <row r="673">
      <c r="A673" s="83"/>
      <c r="B673" s="83"/>
      <c r="C673" s="83"/>
      <c r="D673" s="83"/>
      <c r="F673" s="83"/>
      <c r="G673" s="83"/>
      <c r="H673" s="83"/>
      <c r="I673" s="83"/>
      <c r="J673" s="83"/>
    </row>
    <row r="674">
      <c r="A674" s="83"/>
      <c r="B674" s="83"/>
      <c r="C674" s="83"/>
      <c r="D674" s="83"/>
      <c r="F674" s="83"/>
      <c r="G674" s="83"/>
      <c r="H674" s="83"/>
      <c r="I674" s="83"/>
      <c r="J674" s="83"/>
    </row>
    <row r="675">
      <c r="A675" s="83"/>
      <c r="B675" s="83"/>
      <c r="C675" s="83"/>
      <c r="D675" s="83"/>
      <c r="F675" s="83"/>
      <c r="G675" s="83"/>
      <c r="H675" s="83"/>
      <c r="I675" s="83"/>
      <c r="J675" s="83"/>
    </row>
    <row r="676">
      <c r="A676" s="83"/>
      <c r="B676" s="83"/>
      <c r="C676" s="83"/>
      <c r="D676" s="83"/>
      <c r="F676" s="83"/>
      <c r="G676" s="83"/>
      <c r="H676" s="83"/>
      <c r="I676" s="83"/>
      <c r="J676" s="83"/>
    </row>
    <row r="677">
      <c r="A677" s="83"/>
      <c r="B677" s="83"/>
      <c r="C677" s="83"/>
      <c r="D677" s="83"/>
      <c r="F677" s="83"/>
      <c r="G677" s="83"/>
      <c r="H677" s="83"/>
      <c r="I677" s="83"/>
      <c r="J677" s="83"/>
    </row>
    <row r="678">
      <c r="A678" s="83"/>
      <c r="B678" s="83"/>
      <c r="C678" s="83"/>
      <c r="D678" s="83"/>
      <c r="F678" s="83"/>
      <c r="G678" s="83"/>
      <c r="H678" s="83"/>
      <c r="I678" s="83"/>
      <c r="J678" s="83"/>
    </row>
    <row r="679">
      <c r="A679" s="83"/>
      <c r="B679" s="83"/>
      <c r="C679" s="83"/>
      <c r="D679" s="83"/>
      <c r="F679" s="83"/>
      <c r="G679" s="83"/>
      <c r="H679" s="83"/>
      <c r="I679" s="83"/>
      <c r="J679" s="83"/>
    </row>
    <row r="680">
      <c r="A680" s="83"/>
      <c r="B680" s="83"/>
      <c r="C680" s="83"/>
      <c r="D680" s="83"/>
      <c r="F680" s="83"/>
      <c r="G680" s="83"/>
      <c r="H680" s="83"/>
      <c r="I680" s="83"/>
      <c r="J680" s="83"/>
    </row>
    <row r="681">
      <c r="A681" s="83"/>
      <c r="B681" s="83"/>
      <c r="C681" s="83"/>
      <c r="D681" s="83"/>
      <c r="F681" s="83"/>
      <c r="G681" s="83"/>
      <c r="H681" s="83"/>
      <c r="I681" s="83"/>
      <c r="J681" s="83"/>
    </row>
    <row r="682">
      <c r="A682" s="83"/>
      <c r="B682" s="83"/>
      <c r="C682" s="83"/>
      <c r="D682" s="83"/>
      <c r="F682" s="83"/>
      <c r="G682" s="83"/>
      <c r="H682" s="83"/>
      <c r="I682" s="83"/>
      <c r="J682" s="83"/>
    </row>
    <row r="683">
      <c r="A683" s="83"/>
      <c r="B683" s="83"/>
      <c r="C683" s="83"/>
      <c r="D683" s="83"/>
      <c r="F683" s="83"/>
      <c r="G683" s="83"/>
      <c r="H683" s="83"/>
      <c r="I683" s="83"/>
      <c r="J683" s="83"/>
    </row>
    <row r="684">
      <c r="A684" s="83"/>
      <c r="B684" s="83"/>
      <c r="C684" s="83"/>
      <c r="D684" s="83"/>
      <c r="F684" s="83"/>
      <c r="G684" s="83"/>
      <c r="H684" s="83"/>
      <c r="I684" s="83"/>
      <c r="J684" s="83"/>
    </row>
    <row r="685">
      <c r="A685" s="83"/>
      <c r="B685" s="83"/>
      <c r="C685" s="83"/>
      <c r="D685" s="83"/>
      <c r="F685" s="83"/>
      <c r="G685" s="83"/>
      <c r="H685" s="83"/>
      <c r="I685" s="83"/>
      <c r="J685" s="83"/>
    </row>
    <row r="686">
      <c r="A686" s="83"/>
      <c r="B686" s="83"/>
      <c r="C686" s="83"/>
      <c r="D686" s="83"/>
      <c r="F686" s="83"/>
      <c r="G686" s="83"/>
      <c r="H686" s="83"/>
      <c r="I686" s="83"/>
      <c r="J686" s="83"/>
    </row>
    <row r="687">
      <c r="A687" s="83"/>
      <c r="B687" s="83"/>
      <c r="C687" s="83"/>
      <c r="D687" s="83"/>
      <c r="F687" s="83"/>
      <c r="G687" s="83"/>
      <c r="H687" s="83"/>
      <c r="I687" s="83"/>
      <c r="J687" s="83"/>
    </row>
    <row r="688">
      <c r="A688" s="83"/>
      <c r="B688" s="83"/>
      <c r="C688" s="83"/>
      <c r="D688" s="83"/>
      <c r="F688" s="83"/>
      <c r="G688" s="83"/>
      <c r="H688" s="83"/>
      <c r="I688" s="83"/>
      <c r="J688" s="83"/>
    </row>
    <row r="689">
      <c r="A689" s="83"/>
      <c r="B689" s="83"/>
      <c r="C689" s="83"/>
      <c r="D689" s="83"/>
      <c r="F689" s="83"/>
      <c r="G689" s="83"/>
      <c r="H689" s="83"/>
      <c r="I689" s="83"/>
      <c r="J689" s="83"/>
    </row>
    <row r="690">
      <c r="A690" s="83"/>
      <c r="B690" s="83"/>
      <c r="C690" s="83"/>
      <c r="D690" s="83"/>
      <c r="F690" s="83"/>
      <c r="G690" s="83"/>
      <c r="H690" s="83"/>
      <c r="I690" s="83"/>
      <c r="J690" s="83"/>
    </row>
    <row r="691">
      <c r="A691" s="83"/>
      <c r="B691" s="83"/>
      <c r="C691" s="83"/>
      <c r="D691" s="83"/>
      <c r="F691" s="83"/>
      <c r="G691" s="83"/>
      <c r="H691" s="83"/>
      <c r="I691" s="83"/>
      <c r="J691" s="83"/>
    </row>
    <row r="692">
      <c r="A692" s="83"/>
      <c r="B692" s="83"/>
      <c r="C692" s="83"/>
      <c r="D692" s="83"/>
      <c r="F692" s="83"/>
      <c r="G692" s="83"/>
      <c r="H692" s="83"/>
      <c r="I692" s="83"/>
      <c r="J692" s="83"/>
    </row>
    <row r="693">
      <c r="A693" s="83"/>
      <c r="B693" s="83"/>
      <c r="C693" s="83"/>
      <c r="D693" s="83"/>
      <c r="F693" s="83"/>
      <c r="G693" s="83"/>
      <c r="H693" s="83"/>
      <c r="I693" s="83"/>
      <c r="J693" s="83"/>
    </row>
    <row r="694">
      <c r="A694" s="83"/>
      <c r="B694" s="83"/>
      <c r="C694" s="83"/>
      <c r="D694" s="83"/>
      <c r="F694" s="83"/>
      <c r="G694" s="83"/>
      <c r="H694" s="83"/>
      <c r="I694" s="83"/>
      <c r="J694" s="83"/>
    </row>
    <row r="695">
      <c r="A695" s="83"/>
      <c r="B695" s="83"/>
      <c r="C695" s="83"/>
      <c r="D695" s="83"/>
      <c r="F695" s="83"/>
      <c r="G695" s="83"/>
      <c r="H695" s="83"/>
      <c r="I695" s="83"/>
      <c r="J695" s="83"/>
    </row>
    <row r="696">
      <c r="A696" s="83"/>
      <c r="B696" s="83"/>
      <c r="C696" s="83"/>
      <c r="D696" s="83"/>
      <c r="F696" s="83"/>
      <c r="G696" s="83"/>
      <c r="H696" s="83"/>
      <c r="I696" s="83"/>
      <c r="J696" s="83"/>
    </row>
    <row r="697">
      <c r="A697" s="83"/>
      <c r="B697" s="83"/>
      <c r="C697" s="83"/>
      <c r="D697" s="83"/>
      <c r="F697" s="83"/>
      <c r="G697" s="83"/>
      <c r="H697" s="83"/>
      <c r="I697" s="83"/>
      <c r="J697" s="83"/>
    </row>
    <row r="698">
      <c r="A698" s="83"/>
      <c r="B698" s="83"/>
      <c r="C698" s="83"/>
      <c r="D698" s="83"/>
      <c r="F698" s="83"/>
      <c r="G698" s="83"/>
      <c r="H698" s="83"/>
      <c r="I698" s="83"/>
      <c r="J698" s="83"/>
    </row>
    <row r="699">
      <c r="A699" s="83"/>
      <c r="B699" s="83"/>
      <c r="C699" s="83"/>
      <c r="D699" s="83"/>
      <c r="F699" s="83"/>
      <c r="G699" s="83"/>
      <c r="H699" s="83"/>
      <c r="I699" s="83"/>
      <c r="J699" s="83"/>
    </row>
    <row r="700">
      <c r="A700" s="83"/>
      <c r="B700" s="83"/>
      <c r="C700" s="83"/>
      <c r="D700" s="83"/>
      <c r="F700" s="83"/>
      <c r="G700" s="83"/>
      <c r="H700" s="83"/>
      <c r="I700" s="83"/>
      <c r="J700" s="83"/>
    </row>
    <row r="701">
      <c r="A701" s="83"/>
      <c r="B701" s="83"/>
      <c r="C701" s="83"/>
      <c r="D701" s="83"/>
      <c r="F701" s="83"/>
      <c r="G701" s="83"/>
      <c r="H701" s="83"/>
      <c r="I701" s="83"/>
      <c r="J701" s="83"/>
    </row>
    <row r="702">
      <c r="A702" s="83"/>
      <c r="B702" s="83"/>
      <c r="C702" s="83"/>
      <c r="D702" s="83"/>
      <c r="F702" s="83"/>
      <c r="G702" s="83"/>
      <c r="H702" s="83"/>
      <c r="I702" s="83"/>
      <c r="J702" s="83"/>
    </row>
    <row r="703">
      <c r="A703" s="83"/>
      <c r="B703" s="83"/>
      <c r="C703" s="83"/>
      <c r="D703" s="83"/>
      <c r="F703" s="83"/>
      <c r="G703" s="83"/>
      <c r="H703" s="83"/>
      <c r="I703" s="83"/>
      <c r="J703" s="83"/>
    </row>
    <row r="704">
      <c r="A704" s="83"/>
      <c r="B704" s="83"/>
      <c r="C704" s="83"/>
      <c r="D704" s="83"/>
      <c r="F704" s="83"/>
      <c r="G704" s="83"/>
      <c r="H704" s="83"/>
      <c r="I704" s="83"/>
      <c r="J704" s="83"/>
    </row>
    <row r="705">
      <c r="A705" s="83"/>
      <c r="B705" s="83"/>
      <c r="C705" s="83"/>
      <c r="D705" s="83"/>
      <c r="F705" s="83"/>
      <c r="G705" s="83"/>
      <c r="H705" s="83"/>
      <c r="I705" s="83"/>
      <c r="J705" s="83"/>
    </row>
    <row r="706">
      <c r="A706" s="83"/>
      <c r="B706" s="83"/>
      <c r="C706" s="83"/>
      <c r="D706" s="83"/>
      <c r="F706" s="83"/>
      <c r="G706" s="83"/>
      <c r="H706" s="83"/>
      <c r="I706" s="83"/>
      <c r="J706" s="83"/>
    </row>
    <row r="707">
      <c r="A707" s="83"/>
      <c r="B707" s="83"/>
      <c r="C707" s="83"/>
      <c r="D707" s="83"/>
      <c r="F707" s="83"/>
      <c r="G707" s="83"/>
      <c r="H707" s="83"/>
      <c r="I707" s="83"/>
      <c r="J707" s="83"/>
    </row>
    <row r="708">
      <c r="A708" s="83"/>
      <c r="B708" s="83"/>
      <c r="C708" s="83"/>
      <c r="D708" s="83"/>
      <c r="F708" s="83"/>
      <c r="G708" s="83"/>
      <c r="H708" s="83"/>
      <c r="I708" s="83"/>
      <c r="J708" s="83"/>
    </row>
    <row r="709">
      <c r="A709" s="83"/>
      <c r="B709" s="83"/>
      <c r="C709" s="83"/>
      <c r="D709" s="83"/>
      <c r="F709" s="83"/>
      <c r="G709" s="83"/>
      <c r="H709" s="83"/>
      <c r="I709" s="83"/>
      <c r="J709" s="83"/>
    </row>
    <row r="710">
      <c r="A710" s="83"/>
      <c r="B710" s="83"/>
      <c r="C710" s="83"/>
      <c r="D710" s="83"/>
      <c r="F710" s="83"/>
      <c r="G710" s="83"/>
      <c r="H710" s="83"/>
      <c r="I710" s="83"/>
      <c r="J710" s="83"/>
    </row>
    <row r="711">
      <c r="A711" s="83"/>
      <c r="B711" s="83"/>
      <c r="C711" s="83"/>
      <c r="D711" s="83"/>
      <c r="F711" s="83"/>
      <c r="G711" s="83"/>
      <c r="H711" s="83"/>
      <c r="I711" s="83"/>
      <c r="J711" s="83"/>
    </row>
    <row r="712">
      <c r="A712" s="83"/>
      <c r="B712" s="83"/>
      <c r="C712" s="83"/>
      <c r="D712" s="83"/>
      <c r="F712" s="83"/>
      <c r="G712" s="83"/>
      <c r="H712" s="83"/>
      <c r="I712" s="83"/>
      <c r="J712" s="83"/>
    </row>
    <row r="713">
      <c r="A713" s="83"/>
      <c r="B713" s="83"/>
      <c r="C713" s="83"/>
      <c r="D713" s="83"/>
      <c r="F713" s="83"/>
      <c r="G713" s="83"/>
      <c r="H713" s="83"/>
      <c r="I713" s="83"/>
      <c r="J713" s="83"/>
    </row>
    <row r="714">
      <c r="A714" s="83"/>
      <c r="B714" s="83"/>
      <c r="C714" s="83"/>
      <c r="D714" s="83"/>
      <c r="F714" s="83"/>
      <c r="G714" s="83"/>
      <c r="H714" s="83"/>
      <c r="I714" s="83"/>
      <c r="J714" s="83"/>
    </row>
    <row r="715">
      <c r="A715" s="83"/>
      <c r="B715" s="83"/>
      <c r="C715" s="83"/>
      <c r="D715" s="83"/>
      <c r="F715" s="83"/>
      <c r="G715" s="83"/>
      <c r="H715" s="83"/>
      <c r="I715" s="83"/>
      <c r="J715" s="83"/>
    </row>
    <row r="716">
      <c r="A716" s="83"/>
      <c r="B716" s="83"/>
      <c r="C716" s="83"/>
      <c r="D716" s="83"/>
      <c r="F716" s="83"/>
      <c r="G716" s="83"/>
      <c r="H716" s="83"/>
      <c r="I716" s="83"/>
      <c r="J716" s="83"/>
    </row>
    <row r="717">
      <c r="A717" s="83"/>
      <c r="B717" s="83"/>
      <c r="C717" s="83"/>
      <c r="D717" s="83"/>
      <c r="F717" s="83"/>
      <c r="G717" s="83"/>
      <c r="H717" s="83"/>
      <c r="I717" s="83"/>
      <c r="J717" s="83"/>
    </row>
    <row r="718">
      <c r="A718" s="83"/>
      <c r="B718" s="83"/>
      <c r="C718" s="83"/>
      <c r="D718" s="83"/>
      <c r="F718" s="83"/>
      <c r="G718" s="83"/>
      <c r="H718" s="83"/>
      <c r="I718" s="83"/>
      <c r="J718" s="83"/>
    </row>
    <row r="719">
      <c r="A719" s="83"/>
      <c r="B719" s="83"/>
      <c r="C719" s="83"/>
      <c r="D719" s="83"/>
      <c r="F719" s="83"/>
      <c r="G719" s="83"/>
      <c r="H719" s="83"/>
      <c r="I719" s="83"/>
      <c r="J719" s="83"/>
    </row>
    <row r="720">
      <c r="A720" s="83"/>
      <c r="B720" s="83"/>
      <c r="C720" s="83"/>
      <c r="D720" s="83"/>
      <c r="F720" s="83"/>
      <c r="G720" s="83"/>
      <c r="H720" s="83"/>
      <c r="I720" s="83"/>
      <c r="J720" s="83"/>
    </row>
    <row r="721">
      <c r="A721" s="83"/>
      <c r="B721" s="83"/>
      <c r="C721" s="83"/>
      <c r="D721" s="83"/>
      <c r="F721" s="83"/>
      <c r="G721" s="83"/>
      <c r="H721" s="83"/>
      <c r="I721" s="83"/>
      <c r="J721" s="83"/>
    </row>
    <row r="722">
      <c r="A722" s="83"/>
      <c r="B722" s="83"/>
      <c r="C722" s="83"/>
      <c r="D722" s="83"/>
      <c r="F722" s="83"/>
      <c r="G722" s="83"/>
      <c r="H722" s="83"/>
      <c r="I722" s="83"/>
      <c r="J722" s="83"/>
    </row>
    <row r="723">
      <c r="A723" s="83"/>
      <c r="B723" s="83"/>
      <c r="C723" s="83"/>
      <c r="D723" s="83"/>
      <c r="F723" s="83"/>
      <c r="G723" s="83"/>
      <c r="H723" s="83"/>
      <c r="I723" s="83"/>
      <c r="J723" s="83"/>
    </row>
    <row r="724">
      <c r="A724" s="83"/>
      <c r="B724" s="83"/>
      <c r="C724" s="83"/>
      <c r="D724" s="83"/>
      <c r="F724" s="83"/>
      <c r="G724" s="83"/>
      <c r="H724" s="83"/>
      <c r="I724" s="83"/>
      <c r="J724" s="83"/>
    </row>
    <row r="725">
      <c r="A725" s="83"/>
      <c r="B725" s="83"/>
      <c r="C725" s="83"/>
      <c r="D725" s="83"/>
      <c r="F725" s="83"/>
      <c r="G725" s="83"/>
      <c r="H725" s="83"/>
      <c r="I725" s="83"/>
      <c r="J725" s="83"/>
    </row>
    <row r="726">
      <c r="A726" s="83"/>
      <c r="B726" s="83"/>
      <c r="C726" s="83"/>
      <c r="D726" s="83"/>
      <c r="F726" s="83"/>
      <c r="G726" s="83"/>
      <c r="H726" s="83"/>
      <c r="I726" s="83"/>
      <c r="J726" s="83"/>
    </row>
    <row r="727">
      <c r="A727" s="83"/>
      <c r="B727" s="83"/>
      <c r="C727" s="83"/>
      <c r="D727" s="83"/>
      <c r="F727" s="83"/>
      <c r="G727" s="83"/>
      <c r="H727" s="83"/>
      <c r="I727" s="83"/>
      <c r="J727" s="83"/>
    </row>
    <row r="728">
      <c r="A728" s="83"/>
      <c r="B728" s="83"/>
      <c r="C728" s="83"/>
      <c r="D728" s="83"/>
      <c r="F728" s="83"/>
      <c r="G728" s="83"/>
      <c r="H728" s="83"/>
      <c r="I728" s="83"/>
      <c r="J728" s="83"/>
    </row>
    <row r="729">
      <c r="A729" s="83"/>
      <c r="B729" s="83"/>
      <c r="C729" s="83"/>
      <c r="D729" s="83"/>
      <c r="F729" s="83"/>
      <c r="G729" s="83"/>
      <c r="H729" s="83"/>
      <c r="I729" s="83"/>
      <c r="J729" s="83"/>
    </row>
    <row r="730">
      <c r="A730" s="83"/>
      <c r="B730" s="83"/>
      <c r="C730" s="83"/>
      <c r="D730" s="83"/>
      <c r="F730" s="83"/>
      <c r="G730" s="83"/>
      <c r="H730" s="83"/>
      <c r="I730" s="83"/>
      <c r="J730" s="83"/>
    </row>
    <row r="731">
      <c r="A731" s="83"/>
      <c r="B731" s="83"/>
      <c r="C731" s="83"/>
      <c r="D731" s="83"/>
      <c r="F731" s="83"/>
      <c r="G731" s="83"/>
      <c r="H731" s="83"/>
      <c r="I731" s="83"/>
      <c r="J731" s="83"/>
    </row>
    <row r="732">
      <c r="A732" s="83"/>
      <c r="B732" s="83"/>
      <c r="C732" s="83"/>
      <c r="D732" s="83"/>
      <c r="F732" s="83"/>
      <c r="G732" s="83"/>
      <c r="H732" s="83"/>
      <c r="I732" s="83"/>
      <c r="J732" s="83"/>
    </row>
    <row r="733">
      <c r="A733" s="83"/>
      <c r="B733" s="83"/>
      <c r="C733" s="83"/>
      <c r="D733" s="83"/>
      <c r="F733" s="83"/>
      <c r="G733" s="83"/>
      <c r="H733" s="83"/>
      <c r="I733" s="83"/>
      <c r="J733" s="83"/>
    </row>
    <row r="734">
      <c r="A734" s="83"/>
      <c r="B734" s="83"/>
      <c r="C734" s="83"/>
      <c r="D734" s="83"/>
      <c r="F734" s="83"/>
      <c r="G734" s="83"/>
      <c r="H734" s="83"/>
      <c r="I734" s="83"/>
      <c r="J734" s="83"/>
    </row>
    <row r="735">
      <c r="A735" s="83"/>
      <c r="B735" s="83"/>
      <c r="C735" s="83"/>
      <c r="D735" s="83"/>
      <c r="F735" s="83"/>
      <c r="G735" s="83"/>
      <c r="H735" s="83"/>
      <c r="I735" s="83"/>
      <c r="J735" s="83"/>
    </row>
    <row r="736">
      <c r="A736" s="83"/>
      <c r="B736" s="83"/>
      <c r="C736" s="83"/>
      <c r="D736" s="83"/>
      <c r="F736" s="83"/>
      <c r="G736" s="83"/>
      <c r="H736" s="83"/>
      <c r="I736" s="83"/>
      <c r="J736" s="83"/>
    </row>
    <row r="737">
      <c r="A737" s="83"/>
      <c r="B737" s="83"/>
      <c r="C737" s="83"/>
      <c r="D737" s="83"/>
      <c r="F737" s="83"/>
      <c r="G737" s="83"/>
      <c r="H737" s="83"/>
      <c r="I737" s="83"/>
      <c r="J737" s="83"/>
    </row>
    <row r="738">
      <c r="A738" s="83"/>
      <c r="B738" s="83"/>
      <c r="C738" s="83"/>
      <c r="D738" s="83"/>
      <c r="F738" s="83"/>
      <c r="G738" s="83"/>
      <c r="H738" s="83"/>
      <c r="I738" s="83"/>
      <c r="J738" s="83"/>
    </row>
    <row r="739">
      <c r="A739" s="83"/>
      <c r="B739" s="83"/>
      <c r="C739" s="83"/>
      <c r="D739" s="83"/>
      <c r="F739" s="83"/>
      <c r="G739" s="83"/>
      <c r="H739" s="83"/>
      <c r="I739" s="83"/>
      <c r="J739" s="83"/>
    </row>
    <row r="740">
      <c r="A740" s="83"/>
      <c r="B740" s="83"/>
      <c r="C740" s="83"/>
      <c r="D740" s="83"/>
      <c r="F740" s="83"/>
      <c r="G740" s="83"/>
      <c r="H740" s="83"/>
      <c r="I740" s="83"/>
      <c r="J740" s="83"/>
    </row>
    <row r="741">
      <c r="A741" s="83"/>
      <c r="B741" s="83"/>
      <c r="C741" s="83"/>
      <c r="D741" s="83"/>
      <c r="F741" s="83"/>
      <c r="G741" s="83"/>
      <c r="H741" s="83"/>
      <c r="I741" s="83"/>
      <c r="J741" s="83"/>
    </row>
    <row r="742">
      <c r="A742" s="83"/>
      <c r="B742" s="83"/>
      <c r="C742" s="83"/>
      <c r="D742" s="83"/>
      <c r="F742" s="83"/>
      <c r="G742" s="83"/>
      <c r="H742" s="83"/>
      <c r="I742" s="83"/>
      <c r="J742" s="83"/>
    </row>
    <row r="743">
      <c r="A743" s="83"/>
      <c r="B743" s="83"/>
      <c r="C743" s="83"/>
      <c r="D743" s="83"/>
      <c r="F743" s="83"/>
      <c r="G743" s="83"/>
      <c r="H743" s="83"/>
      <c r="I743" s="83"/>
      <c r="J743" s="83"/>
    </row>
    <row r="744">
      <c r="A744" s="83"/>
      <c r="B744" s="83"/>
      <c r="C744" s="83"/>
      <c r="D744" s="83"/>
      <c r="F744" s="83"/>
      <c r="G744" s="83"/>
      <c r="H744" s="83"/>
      <c r="I744" s="83"/>
      <c r="J744" s="83"/>
    </row>
    <row r="745">
      <c r="A745" s="83"/>
      <c r="B745" s="83"/>
      <c r="C745" s="83"/>
      <c r="D745" s="83"/>
      <c r="F745" s="83"/>
      <c r="G745" s="83"/>
      <c r="H745" s="83"/>
      <c r="I745" s="83"/>
      <c r="J745" s="83"/>
    </row>
    <row r="746">
      <c r="A746" s="83"/>
      <c r="B746" s="83"/>
      <c r="C746" s="83"/>
      <c r="D746" s="83"/>
      <c r="F746" s="83"/>
      <c r="G746" s="83"/>
      <c r="H746" s="83"/>
      <c r="I746" s="83"/>
      <c r="J746" s="83"/>
    </row>
    <row r="747">
      <c r="A747" s="83"/>
      <c r="B747" s="83"/>
      <c r="C747" s="83"/>
      <c r="D747" s="83"/>
      <c r="F747" s="83"/>
      <c r="G747" s="83"/>
      <c r="H747" s="83"/>
      <c r="I747" s="83"/>
      <c r="J747" s="83"/>
    </row>
    <row r="748">
      <c r="A748" s="83"/>
      <c r="B748" s="83"/>
      <c r="C748" s="83"/>
      <c r="D748" s="83"/>
      <c r="F748" s="83"/>
      <c r="G748" s="83"/>
      <c r="H748" s="83"/>
      <c r="I748" s="83"/>
      <c r="J748" s="83"/>
    </row>
    <row r="749">
      <c r="A749" s="83"/>
      <c r="B749" s="83"/>
      <c r="C749" s="83"/>
      <c r="D749" s="83"/>
      <c r="F749" s="83"/>
      <c r="G749" s="83"/>
      <c r="H749" s="83"/>
      <c r="I749" s="83"/>
      <c r="J749" s="83"/>
    </row>
    <row r="750">
      <c r="A750" s="83"/>
      <c r="B750" s="83"/>
      <c r="C750" s="83"/>
      <c r="D750" s="83"/>
      <c r="F750" s="83"/>
      <c r="G750" s="83"/>
      <c r="H750" s="83"/>
      <c r="I750" s="83"/>
      <c r="J750" s="83"/>
    </row>
    <row r="751">
      <c r="A751" s="83"/>
      <c r="B751" s="83"/>
      <c r="C751" s="83"/>
      <c r="D751" s="83"/>
      <c r="F751" s="83"/>
      <c r="G751" s="83"/>
      <c r="H751" s="83"/>
      <c r="I751" s="83"/>
      <c r="J751" s="83"/>
    </row>
    <row r="752">
      <c r="A752" s="83"/>
      <c r="B752" s="83"/>
      <c r="C752" s="83"/>
      <c r="D752" s="83"/>
      <c r="F752" s="83"/>
      <c r="G752" s="83"/>
      <c r="H752" s="83"/>
      <c r="I752" s="83"/>
      <c r="J752" s="83"/>
    </row>
    <row r="753">
      <c r="A753" s="83"/>
      <c r="B753" s="83"/>
      <c r="C753" s="83"/>
      <c r="D753" s="83"/>
      <c r="F753" s="83"/>
      <c r="G753" s="83"/>
      <c r="H753" s="83"/>
      <c r="I753" s="83"/>
      <c r="J753" s="83"/>
    </row>
    <row r="754">
      <c r="A754" s="83"/>
      <c r="B754" s="83"/>
      <c r="C754" s="83"/>
      <c r="D754" s="83"/>
      <c r="F754" s="83"/>
      <c r="G754" s="83"/>
      <c r="H754" s="83"/>
      <c r="I754" s="83"/>
      <c r="J754" s="83"/>
    </row>
    <row r="755">
      <c r="A755" s="83"/>
      <c r="B755" s="83"/>
      <c r="C755" s="83"/>
      <c r="D755" s="83"/>
      <c r="F755" s="83"/>
      <c r="G755" s="83"/>
      <c r="H755" s="83"/>
      <c r="I755" s="83"/>
      <c r="J755" s="83"/>
    </row>
    <row r="756">
      <c r="A756" s="83"/>
      <c r="B756" s="83"/>
      <c r="C756" s="83"/>
      <c r="D756" s="83"/>
      <c r="F756" s="83"/>
      <c r="G756" s="83"/>
      <c r="H756" s="83"/>
      <c r="I756" s="83"/>
      <c r="J756" s="83"/>
    </row>
    <row r="757">
      <c r="A757" s="83"/>
      <c r="B757" s="83"/>
      <c r="C757" s="83"/>
      <c r="D757" s="83"/>
      <c r="F757" s="83"/>
      <c r="G757" s="83"/>
      <c r="H757" s="83"/>
      <c r="I757" s="83"/>
      <c r="J757" s="83"/>
    </row>
    <row r="758">
      <c r="A758" s="83"/>
      <c r="B758" s="83"/>
      <c r="C758" s="83"/>
      <c r="D758" s="83"/>
      <c r="F758" s="83"/>
      <c r="G758" s="83"/>
      <c r="H758" s="83"/>
      <c r="I758" s="83"/>
      <c r="J758" s="83"/>
    </row>
    <row r="759">
      <c r="A759" s="83"/>
      <c r="B759" s="83"/>
      <c r="C759" s="83"/>
      <c r="D759" s="83"/>
      <c r="F759" s="83"/>
      <c r="G759" s="83"/>
      <c r="H759" s="83"/>
      <c r="I759" s="83"/>
      <c r="J759" s="83"/>
    </row>
    <row r="760">
      <c r="A760" s="83"/>
      <c r="B760" s="83"/>
      <c r="C760" s="83"/>
      <c r="D760" s="83"/>
      <c r="F760" s="83"/>
      <c r="G760" s="83"/>
      <c r="H760" s="83"/>
      <c r="I760" s="83"/>
      <c r="J760" s="83"/>
    </row>
    <row r="761">
      <c r="A761" s="83"/>
      <c r="B761" s="83"/>
      <c r="C761" s="83"/>
      <c r="D761" s="83"/>
      <c r="F761" s="83"/>
      <c r="G761" s="83"/>
      <c r="H761" s="83"/>
      <c r="I761" s="83"/>
      <c r="J761" s="83"/>
    </row>
    <row r="762">
      <c r="A762" s="83"/>
      <c r="B762" s="83"/>
      <c r="C762" s="83"/>
      <c r="D762" s="83"/>
      <c r="F762" s="83"/>
      <c r="G762" s="83"/>
      <c r="H762" s="83"/>
      <c r="I762" s="83"/>
      <c r="J762" s="83"/>
    </row>
    <row r="763">
      <c r="A763" s="83"/>
      <c r="B763" s="83"/>
      <c r="C763" s="83"/>
      <c r="D763" s="83"/>
      <c r="F763" s="83"/>
      <c r="G763" s="83"/>
      <c r="H763" s="83"/>
      <c r="I763" s="83"/>
      <c r="J763" s="83"/>
    </row>
    <row r="764">
      <c r="A764" s="83"/>
      <c r="B764" s="83"/>
      <c r="C764" s="83"/>
      <c r="D764" s="83"/>
      <c r="F764" s="83"/>
      <c r="G764" s="83"/>
      <c r="H764" s="83"/>
      <c r="I764" s="83"/>
      <c r="J764" s="83"/>
    </row>
    <row r="765">
      <c r="A765" s="83"/>
      <c r="B765" s="83"/>
      <c r="C765" s="83"/>
      <c r="D765" s="83"/>
      <c r="F765" s="83"/>
      <c r="G765" s="83"/>
      <c r="H765" s="83"/>
      <c r="I765" s="83"/>
      <c r="J765" s="83"/>
    </row>
    <row r="766">
      <c r="A766" s="83"/>
      <c r="B766" s="83"/>
      <c r="C766" s="83"/>
      <c r="D766" s="83"/>
      <c r="F766" s="83"/>
      <c r="G766" s="83"/>
      <c r="H766" s="83"/>
      <c r="I766" s="83"/>
      <c r="J766" s="83"/>
    </row>
    <row r="767">
      <c r="A767" s="83"/>
      <c r="B767" s="83"/>
      <c r="C767" s="83"/>
      <c r="D767" s="83"/>
      <c r="F767" s="83"/>
      <c r="G767" s="83"/>
      <c r="H767" s="83"/>
      <c r="I767" s="83"/>
      <c r="J767" s="83"/>
    </row>
    <row r="768">
      <c r="A768" s="83"/>
      <c r="B768" s="83"/>
      <c r="C768" s="83"/>
      <c r="D768" s="83"/>
      <c r="F768" s="83"/>
      <c r="G768" s="83"/>
      <c r="H768" s="83"/>
      <c r="I768" s="83"/>
      <c r="J768" s="83"/>
    </row>
    <row r="769">
      <c r="A769" s="83"/>
      <c r="B769" s="83"/>
      <c r="C769" s="83"/>
      <c r="D769" s="83"/>
      <c r="F769" s="83"/>
      <c r="G769" s="83"/>
      <c r="H769" s="83"/>
      <c r="I769" s="83"/>
      <c r="J769" s="83"/>
    </row>
    <row r="770">
      <c r="A770" s="83"/>
      <c r="B770" s="83"/>
      <c r="C770" s="83"/>
      <c r="D770" s="83"/>
      <c r="F770" s="83"/>
      <c r="G770" s="83"/>
      <c r="H770" s="83"/>
      <c r="I770" s="83"/>
      <c r="J770" s="83"/>
    </row>
    <row r="771">
      <c r="A771" s="83"/>
      <c r="B771" s="83"/>
      <c r="C771" s="83"/>
      <c r="D771" s="83"/>
      <c r="F771" s="83"/>
      <c r="G771" s="83"/>
      <c r="H771" s="83"/>
      <c r="I771" s="83"/>
      <c r="J771" s="83"/>
    </row>
    <row r="772">
      <c r="A772" s="83"/>
      <c r="B772" s="83"/>
      <c r="C772" s="83"/>
      <c r="D772" s="83"/>
      <c r="F772" s="83"/>
      <c r="G772" s="83"/>
      <c r="H772" s="83"/>
      <c r="I772" s="83"/>
      <c r="J772" s="83"/>
    </row>
    <row r="773">
      <c r="A773" s="83"/>
      <c r="B773" s="83"/>
      <c r="C773" s="83"/>
      <c r="D773" s="83"/>
      <c r="F773" s="83"/>
      <c r="G773" s="83"/>
      <c r="H773" s="83"/>
      <c r="I773" s="83"/>
      <c r="J773" s="83"/>
    </row>
    <row r="774">
      <c r="A774" s="83"/>
      <c r="B774" s="83"/>
      <c r="C774" s="83"/>
      <c r="D774" s="83"/>
      <c r="F774" s="83"/>
      <c r="G774" s="83"/>
      <c r="H774" s="83"/>
      <c r="I774" s="83"/>
      <c r="J774" s="83"/>
    </row>
    <row r="775">
      <c r="A775" s="83"/>
      <c r="B775" s="83"/>
      <c r="C775" s="83"/>
      <c r="D775" s="83"/>
      <c r="F775" s="83"/>
      <c r="G775" s="83"/>
      <c r="H775" s="83"/>
      <c r="I775" s="83"/>
      <c r="J775" s="83"/>
    </row>
    <row r="776">
      <c r="A776" s="83"/>
      <c r="B776" s="83"/>
      <c r="C776" s="83"/>
      <c r="D776" s="83"/>
      <c r="F776" s="83"/>
      <c r="G776" s="83"/>
      <c r="H776" s="83"/>
      <c r="I776" s="83"/>
      <c r="J776" s="83"/>
    </row>
    <row r="777">
      <c r="A777" s="83"/>
      <c r="B777" s="83"/>
      <c r="C777" s="83"/>
      <c r="D777" s="83"/>
      <c r="F777" s="83"/>
      <c r="G777" s="83"/>
      <c r="H777" s="83"/>
      <c r="I777" s="83"/>
      <c r="J777" s="83"/>
    </row>
    <row r="778">
      <c r="A778" s="83"/>
      <c r="B778" s="83"/>
      <c r="C778" s="83"/>
      <c r="D778" s="83"/>
      <c r="F778" s="83"/>
      <c r="G778" s="83"/>
      <c r="H778" s="83"/>
      <c r="I778" s="83"/>
      <c r="J778" s="83"/>
    </row>
    <row r="779">
      <c r="A779" s="83"/>
      <c r="B779" s="83"/>
      <c r="C779" s="83"/>
      <c r="D779" s="83"/>
      <c r="F779" s="83"/>
      <c r="G779" s="83"/>
      <c r="H779" s="83"/>
      <c r="I779" s="83"/>
      <c r="J779" s="83"/>
    </row>
    <row r="780">
      <c r="A780" s="83"/>
      <c r="B780" s="83"/>
      <c r="C780" s="83"/>
      <c r="D780" s="83"/>
      <c r="F780" s="83"/>
      <c r="G780" s="83"/>
      <c r="H780" s="83"/>
      <c r="I780" s="83"/>
      <c r="J780" s="83"/>
    </row>
    <row r="781">
      <c r="A781" s="83"/>
      <c r="B781" s="83"/>
      <c r="C781" s="83"/>
      <c r="D781" s="83"/>
      <c r="F781" s="83"/>
      <c r="G781" s="83"/>
      <c r="H781" s="83"/>
      <c r="I781" s="83"/>
      <c r="J781" s="83"/>
    </row>
    <row r="782">
      <c r="A782" s="83"/>
      <c r="B782" s="83"/>
      <c r="C782" s="83"/>
      <c r="D782" s="83"/>
      <c r="F782" s="83"/>
      <c r="G782" s="83"/>
      <c r="H782" s="83"/>
      <c r="I782" s="83"/>
      <c r="J782" s="83"/>
    </row>
    <row r="783">
      <c r="A783" s="83"/>
      <c r="B783" s="83"/>
      <c r="C783" s="83"/>
      <c r="D783" s="83"/>
      <c r="F783" s="83"/>
      <c r="G783" s="83"/>
      <c r="H783" s="83"/>
      <c r="I783" s="83"/>
      <c r="J783" s="83"/>
    </row>
    <row r="784">
      <c r="A784" s="83"/>
      <c r="B784" s="83"/>
      <c r="C784" s="83"/>
      <c r="D784" s="83"/>
      <c r="F784" s="83"/>
      <c r="G784" s="83"/>
      <c r="H784" s="83"/>
      <c r="I784" s="83"/>
      <c r="J784" s="83"/>
    </row>
    <row r="785">
      <c r="A785" s="83"/>
      <c r="B785" s="83"/>
      <c r="C785" s="83"/>
      <c r="D785" s="83"/>
      <c r="F785" s="83"/>
      <c r="G785" s="83"/>
      <c r="H785" s="83"/>
      <c r="I785" s="83"/>
      <c r="J785" s="83"/>
    </row>
    <row r="786">
      <c r="A786" s="83"/>
      <c r="B786" s="83"/>
      <c r="C786" s="83"/>
      <c r="D786" s="83"/>
      <c r="F786" s="83"/>
      <c r="G786" s="83"/>
      <c r="H786" s="83"/>
      <c r="I786" s="83"/>
      <c r="J786" s="83"/>
    </row>
    <row r="787">
      <c r="A787" s="83"/>
      <c r="B787" s="83"/>
      <c r="C787" s="83"/>
      <c r="D787" s="83"/>
      <c r="F787" s="83"/>
      <c r="G787" s="83"/>
      <c r="H787" s="83"/>
      <c r="I787" s="83"/>
      <c r="J787" s="83"/>
    </row>
    <row r="788">
      <c r="A788" s="83"/>
      <c r="B788" s="83"/>
      <c r="C788" s="83"/>
      <c r="D788" s="83"/>
      <c r="F788" s="83"/>
      <c r="G788" s="83"/>
      <c r="H788" s="83"/>
      <c r="I788" s="83"/>
      <c r="J788" s="83"/>
    </row>
    <row r="789">
      <c r="A789" s="83"/>
      <c r="B789" s="83"/>
      <c r="C789" s="83"/>
      <c r="D789" s="83"/>
      <c r="F789" s="83"/>
      <c r="G789" s="83"/>
      <c r="H789" s="83"/>
      <c r="I789" s="83"/>
      <c r="J789" s="83"/>
    </row>
    <row r="790">
      <c r="A790" s="83"/>
      <c r="B790" s="83"/>
      <c r="C790" s="83"/>
      <c r="D790" s="83"/>
      <c r="F790" s="83"/>
      <c r="G790" s="83"/>
      <c r="H790" s="83"/>
      <c r="I790" s="83"/>
      <c r="J790" s="83"/>
    </row>
    <row r="791">
      <c r="A791" s="83"/>
      <c r="B791" s="83"/>
      <c r="C791" s="83"/>
      <c r="D791" s="83"/>
      <c r="F791" s="83"/>
      <c r="G791" s="83"/>
      <c r="H791" s="83"/>
      <c r="I791" s="83"/>
      <c r="J791" s="83"/>
    </row>
    <row r="792">
      <c r="A792" s="83"/>
      <c r="B792" s="83"/>
      <c r="C792" s="83"/>
      <c r="D792" s="83"/>
      <c r="F792" s="83"/>
      <c r="G792" s="83"/>
      <c r="H792" s="83"/>
      <c r="I792" s="83"/>
      <c r="J792" s="83"/>
    </row>
    <row r="793">
      <c r="A793" s="83"/>
      <c r="B793" s="83"/>
      <c r="C793" s="83"/>
      <c r="D793" s="83"/>
      <c r="F793" s="83"/>
      <c r="G793" s="83"/>
      <c r="H793" s="83"/>
      <c r="I793" s="83"/>
      <c r="J793" s="83"/>
    </row>
    <row r="794">
      <c r="A794" s="83"/>
      <c r="B794" s="83"/>
      <c r="C794" s="83"/>
      <c r="D794" s="83"/>
      <c r="F794" s="83"/>
      <c r="G794" s="83"/>
      <c r="H794" s="83"/>
      <c r="I794" s="83"/>
      <c r="J794" s="83"/>
    </row>
    <row r="795">
      <c r="A795" s="83"/>
      <c r="B795" s="83"/>
      <c r="C795" s="83"/>
      <c r="D795" s="83"/>
      <c r="F795" s="83"/>
      <c r="G795" s="83"/>
      <c r="H795" s="83"/>
      <c r="I795" s="83"/>
      <c r="J795" s="83"/>
    </row>
    <row r="796">
      <c r="A796" s="83"/>
      <c r="B796" s="83"/>
      <c r="C796" s="83"/>
      <c r="D796" s="83"/>
      <c r="F796" s="83"/>
      <c r="G796" s="83"/>
      <c r="H796" s="83"/>
      <c r="I796" s="83"/>
      <c r="J796" s="83"/>
    </row>
    <row r="797">
      <c r="A797" s="83"/>
      <c r="B797" s="83"/>
      <c r="C797" s="83"/>
      <c r="D797" s="83"/>
      <c r="F797" s="83"/>
      <c r="G797" s="83"/>
      <c r="H797" s="83"/>
      <c r="I797" s="83"/>
      <c r="J797" s="83"/>
    </row>
    <row r="798">
      <c r="A798" s="83"/>
      <c r="B798" s="83"/>
      <c r="C798" s="83"/>
      <c r="D798" s="83"/>
      <c r="F798" s="83"/>
      <c r="G798" s="83"/>
      <c r="H798" s="83"/>
      <c r="I798" s="83"/>
      <c r="J798" s="83"/>
    </row>
    <row r="799">
      <c r="A799" s="83"/>
      <c r="B799" s="83"/>
      <c r="C799" s="83"/>
      <c r="D799" s="83"/>
      <c r="F799" s="83"/>
      <c r="G799" s="83"/>
      <c r="H799" s="83"/>
      <c r="I799" s="83"/>
      <c r="J799" s="83"/>
    </row>
    <row r="800">
      <c r="A800" s="83"/>
      <c r="B800" s="83"/>
      <c r="C800" s="83"/>
      <c r="D800" s="83"/>
      <c r="F800" s="83"/>
      <c r="G800" s="83"/>
      <c r="H800" s="83"/>
      <c r="I800" s="83"/>
      <c r="J800" s="83"/>
    </row>
    <row r="801">
      <c r="A801" s="83"/>
      <c r="B801" s="83"/>
      <c r="C801" s="83"/>
      <c r="D801" s="83"/>
      <c r="F801" s="83"/>
      <c r="G801" s="83"/>
      <c r="H801" s="83"/>
      <c r="I801" s="83"/>
      <c r="J801" s="83"/>
    </row>
    <row r="802">
      <c r="A802" s="83"/>
      <c r="B802" s="83"/>
      <c r="C802" s="83"/>
      <c r="D802" s="83"/>
      <c r="F802" s="83"/>
      <c r="G802" s="83"/>
      <c r="H802" s="83"/>
      <c r="I802" s="83"/>
      <c r="J802" s="83"/>
    </row>
    <row r="803">
      <c r="A803" s="83"/>
      <c r="B803" s="83"/>
      <c r="C803" s="83"/>
      <c r="D803" s="83"/>
      <c r="F803" s="83"/>
      <c r="G803" s="83"/>
      <c r="H803" s="83"/>
      <c r="I803" s="83"/>
      <c r="J803" s="83"/>
    </row>
    <row r="804">
      <c r="A804" s="83"/>
      <c r="B804" s="83"/>
      <c r="C804" s="83"/>
      <c r="D804" s="83"/>
      <c r="F804" s="83"/>
      <c r="G804" s="83"/>
      <c r="H804" s="83"/>
      <c r="I804" s="83"/>
      <c r="J804" s="83"/>
    </row>
    <row r="805">
      <c r="A805" s="83"/>
      <c r="B805" s="83"/>
      <c r="C805" s="83"/>
      <c r="D805" s="83"/>
      <c r="F805" s="83"/>
      <c r="G805" s="83"/>
      <c r="H805" s="83"/>
      <c r="I805" s="83"/>
      <c r="J805" s="83"/>
    </row>
    <row r="806">
      <c r="A806" s="83"/>
      <c r="B806" s="83"/>
      <c r="C806" s="83"/>
      <c r="D806" s="83"/>
      <c r="F806" s="83"/>
      <c r="G806" s="83"/>
      <c r="H806" s="83"/>
      <c r="I806" s="83"/>
      <c r="J806" s="83"/>
    </row>
    <row r="807">
      <c r="A807" s="83"/>
      <c r="B807" s="83"/>
      <c r="C807" s="83"/>
      <c r="D807" s="83"/>
      <c r="F807" s="83"/>
      <c r="G807" s="83"/>
      <c r="H807" s="83"/>
      <c r="I807" s="83"/>
      <c r="J807" s="83"/>
    </row>
    <row r="808">
      <c r="A808" s="83"/>
      <c r="B808" s="83"/>
      <c r="C808" s="83"/>
      <c r="D808" s="83"/>
      <c r="F808" s="83"/>
      <c r="G808" s="83"/>
      <c r="H808" s="83"/>
      <c r="I808" s="83"/>
      <c r="J808" s="83"/>
    </row>
    <row r="809">
      <c r="A809" s="83"/>
      <c r="B809" s="83"/>
      <c r="C809" s="83"/>
      <c r="D809" s="83"/>
      <c r="F809" s="83"/>
      <c r="G809" s="83"/>
      <c r="H809" s="83"/>
      <c r="I809" s="83"/>
      <c r="J809" s="83"/>
    </row>
    <row r="810">
      <c r="A810" s="83"/>
      <c r="B810" s="83"/>
      <c r="C810" s="83"/>
      <c r="D810" s="83"/>
      <c r="F810" s="83"/>
      <c r="G810" s="83"/>
      <c r="H810" s="83"/>
      <c r="I810" s="83"/>
      <c r="J810" s="83"/>
    </row>
    <row r="811">
      <c r="A811" s="83"/>
      <c r="B811" s="83"/>
      <c r="C811" s="83"/>
      <c r="D811" s="83"/>
      <c r="F811" s="83"/>
      <c r="G811" s="83"/>
      <c r="H811" s="83"/>
      <c r="I811" s="83"/>
      <c r="J811" s="83"/>
    </row>
    <row r="812">
      <c r="A812" s="83"/>
      <c r="B812" s="83"/>
      <c r="C812" s="83"/>
      <c r="D812" s="83"/>
      <c r="F812" s="83"/>
      <c r="G812" s="83"/>
      <c r="H812" s="83"/>
      <c r="I812" s="83"/>
      <c r="J812" s="83"/>
    </row>
    <row r="813">
      <c r="A813" s="83"/>
      <c r="B813" s="83"/>
      <c r="C813" s="83"/>
      <c r="D813" s="83"/>
      <c r="F813" s="83"/>
      <c r="G813" s="83"/>
      <c r="H813" s="83"/>
      <c r="I813" s="83"/>
      <c r="J813" s="83"/>
    </row>
    <row r="814">
      <c r="A814" s="83"/>
      <c r="B814" s="83"/>
      <c r="C814" s="83"/>
      <c r="D814" s="83"/>
      <c r="F814" s="83"/>
      <c r="G814" s="83"/>
      <c r="H814" s="83"/>
      <c r="I814" s="83"/>
      <c r="J814" s="83"/>
    </row>
    <row r="815">
      <c r="A815" s="83"/>
      <c r="B815" s="83"/>
      <c r="C815" s="83"/>
      <c r="D815" s="83"/>
      <c r="F815" s="83"/>
      <c r="G815" s="83"/>
      <c r="H815" s="83"/>
      <c r="I815" s="83"/>
      <c r="J815" s="83"/>
    </row>
    <row r="816">
      <c r="A816" s="83"/>
      <c r="B816" s="83"/>
      <c r="C816" s="83"/>
      <c r="D816" s="83"/>
      <c r="F816" s="83"/>
      <c r="G816" s="83"/>
      <c r="H816" s="83"/>
      <c r="I816" s="83"/>
      <c r="J816" s="83"/>
    </row>
    <row r="817">
      <c r="A817" s="83"/>
      <c r="B817" s="83"/>
      <c r="C817" s="83"/>
      <c r="D817" s="83"/>
      <c r="F817" s="83"/>
      <c r="G817" s="83"/>
      <c r="H817" s="83"/>
      <c r="I817" s="83"/>
      <c r="J817" s="83"/>
    </row>
    <row r="818">
      <c r="A818" s="83"/>
      <c r="B818" s="83"/>
      <c r="C818" s="83"/>
      <c r="D818" s="83"/>
      <c r="F818" s="83"/>
      <c r="G818" s="83"/>
      <c r="H818" s="83"/>
      <c r="I818" s="83"/>
      <c r="J818" s="83"/>
    </row>
    <row r="819">
      <c r="A819" s="83"/>
      <c r="B819" s="83"/>
      <c r="C819" s="83"/>
      <c r="D819" s="83"/>
      <c r="F819" s="83"/>
      <c r="G819" s="83"/>
      <c r="H819" s="83"/>
      <c r="I819" s="83"/>
      <c r="J819" s="83"/>
    </row>
    <row r="820">
      <c r="A820" s="83"/>
      <c r="B820" s="83"/>
      <c r="C820" s="83"/>
      <c r="D820" s="83"/>
      <c r="F820" s="83"/>
      <c r="G820" s="83"/>
      <c r="H820" s="83"/>
      <c r="I820" s="83"/>
      <c r="J820" s="83"/>
    </row>
    <row r="821">
      <c r="A821" s="83"/>
      <c r="B821" s="83"/>
      <c r="C821" s="83"/>
      <c r="D821" s="83"/>
      <c r="F821" s="83"/>
      <c r="G821" s="83"/>
      <c r="H821" s="83"/>
      <c r="I821" s="83"/>
      <c r="J821" s="83"/>
    </row>
    <row r="822">
      <c r="A822" s="83"/>
      <c r="B822" s="83"/>
      <c r="C822" s="83"/>
      <c r="D822" s="83"/>
      <c r="F822" s="83"/>
      <c r="G822" s="83"/>
      <c r="H822" s="83"/>
      <c r="I822" s="83"/>
      <c r="J822" s="83"/>
    </row>
    <row r="823">
      <c r="A823" s="83"/>
      <c r="B823" s="83"/>
      <c r="C823" s="83"/>
      <c r="D823" s="83"/>
      <c r="F823" s="83"/>
      <c r="G823" s="83"/>
      <c r="H823" s="83"/>
      <c r="I823" s="83"/>
      <c r="J823" s="83"/>
    </row>
    <row r="824">
      <c r="A824" s="83"/>
      <c r="B824" s="83"/>
      <c r="C824" s="83"/>
      <c r="D824" s="83"/>
      <c r="F824" s="83"/>
      <c r="G824" s="83"/>
      <c r="H824" s="83"/>
      <c r="I824" s="83"/>
      <c r="J824" s="83"/>
    </row>
    <row r="825">
      <c r="A825" s="83"/>
      <c r="B825" s="83"/>
      <c r="C825" s="83"/>
      <c r="D825" s="83"/>
      <c r="F825" s="83"/>
      <c r="G825" s="83"/>
      <c r="H825" s="83"/>
      <c r="I825" s="83"/>
      <c r="J825" s="83"/>
    </row>
    <row r="826">
      <c r="A826" s="83"/>
      <c r="B826" s="83"/>
      <c r="C826" s="83"/>
      <c r="D826" s="83"/>
      <c r="F826" s="83"/>
      <c r="G826" s="83"/>
      <c r="H826" s="83"/>
      <c r="I826" s="83"/>
      <c r="J826" s="83"/>
    </row>
    <row r="827">
      <c r="A827" s="83"/>
      <c r="B827" s="83"/>
      <c r="C827" s="83"/>
      <c r="D827" s="83"/>
      <c r="F827" s="83"/>
      <c r="G827" s="83"/>
      <c r="H827" s="83"/>
      <c r="I827" s="83"/>
      <c r="J827" s="83"/>
    </row>
    <row r="828">
      <c r="A828" s="83"/>
      <c r="B828" s="83"/>
      <c r="C828" s="83"/>
      <c r="D828" s="83"/>
      <c r="F828" s="83"/>
      <c r="G828" s="83"/>
      <c r="H828" s="83"/>
      <c r="I828" s="83"/>
      <c r="J828" s="83"/>
    </row>
    <row r="829">
      <c r="A829" s="83"/>
      <c r="B829" s="83"/>
      <c r="C829" s="83"/>
      <c r="D829" s="83"/>
      <c r="F829" s="83"/>
      <c r="G829" s="83"/>
      <c r="H829" s="83"/>
      <c r="I829" s="83"/>
      <c r="J829" s="83"/>
    </row>
    <row r="830">
      <c r="A830" s="83"/>
      <c r="B830" s="83"/>
      <c r="C830" s="83"/>
      <c r="D830" s="83"/>
      <c r="F830" s="83"/>
      <c r="G830" s="83"/>
      <c r="H830" s="83"/>
      <c r="I830" s="83"/>
      <c r="J830" s="83"/>
    </row>
    <row r="831">
      <c r="A831" s="83"/>
      <c r="B831" s="83"/>
      <c r="C831" s="83"/>
      <c r="D831" s="83"/>
      <c r="F831" s="83"/>
      <c r="G831" s="83"/>
      <c r="H831" s="83"/>
      <c r="I831" s="83"/>
      <c r="J831" s="83"/>
    </row>
    <row r="832">
      <c r="A832" s="83"/>
      <c r="B832" s="83"/>
      <c r="C832" s="83"/>
      <c r="D832" s="83"/>
      <c r="F832" s="83"/>
      <c r="G832" s="83"/>
      <c r="H832" s="83"/>
      <c r="I832" s="83"/>
      <c r="J832" s="83"/>
    </row>
    <row r="833">
      <c r="A833" s="83"/>
      <c r="B833" s="83"/>
      <c r="C833" s="83"/>
      <c r="D833" s="83"/>
      <c r="F833" s="83"/>
      <c r="G833" s="83"/>
      <c r="H833" s="83"/>
      <c r="I833" s="83"/>
      <c r="J833" s="83"/>
    </row>
    <row r="834">
      <c r="A834" s="83"/>
      <c r="B834" s="83"/>
      <c r="C834" s="83"/>
      <c r="D834" s="83"/>
      <c r="F834" s="83"/>
      <c r="G834" s="83"/>
      <c r="H834" s="83"/>
      <c r="I834" s="83"/>
      <c r="J834" s="83"/>
    </row>
    <row r="835">
      <c r="A835" s="83"/>
      <c r="B835" s="83"/>
      <c r="C835" s="83"/>
      <c r="D835" s="83"/>
      <c r="F835" s="83"/>
      <c r="G835" s="83"/>
      <c r="H835" s="83"/>
      <c r="I835" s="83"/>
      <c r="J835" s="83"/>
    </row>
    <row r="836">
      <c r="A836" s="83"/>
      <c r="B836" s="83"/>
      <c r="C836" s="83"/>
      <c r="D836" s="83"/>
      <c r="F836" s="83"/>
      <c r="G836" s="83"/>
      <c r="H836" s="83"/>
      <c r="I836" s="83"/>
      <c r="J836" s="83"/>
    </row>
    <row r="837">
      <c r="A837" s="83"/>
      <c r="B837" s="83"/>
      <c r="C837" s="83"/>
      <c r="D837" s="83"/>
      <c r="F837" s="83"/>
      <c r="G837" s="83"/>
      <c r="H837" s="83"/>
      <c r="I837" s="83"/>
      <c r="J837" s="83"/>
    </row>
    <row r="838">
      <c r="A838" s="83"/>
      <c r="B838" s="83"/>
      <c r="C838" s="83"/>
      <c r="D838" s="83"/>
      <c r="F838" s="83"/>
      <c r="G838" s="83"/>
      <c r="H838" s="83"/>
      <c r="I838" s="83"/>
      <c r="J838" s="83"/>
    </row>
    <row r="839">
      <c r="A839" s="83"/>
      <c r="B839" s="83"/>
      <c r="C839" s="83"/>
      <c r="D839" s="83"/>
      <c r="F839" s="83"/>
      <c r="G839" s="83"/>
      <c r="H839" s="83"/>
      <c r="I839" s="83"/>
      <c r="J839" s="83"/>
    </row>
    <row r="840">
      <c r="A840" s="83"/>
      <c r="B840" s="83"/>
      <c r="C840" s="83"/>
      <c r="D840" s="83"/>
      <c r="F840" s="83"/>
      <c r="G840" s="83"/>
      <c r="H840" s="83"/>
      <c r="I840" s="83"/>
      <c r="J840" s="83"/>
    </row>
    <row r="841">
      <c r="A841" s="83"/>
      <c r="B841" s="83"/>
      <c r="C841" s="83"/>
      <c r="D841" s="83"/>
      <c r="F841" s="83"/>
      <c r="G841" s="83"/>
      <c r="H841" s="83"/>
      <c r="I841" s="83"/>
      <c r="J841" s="83"/>
    </row>
    <row r="842">
      <c r="A842" s="83"/>
      <c r="B842" s="83"/>
      <c r="C842" s="83"/>
      <c r="D842" s="83"/>
      <c r="F842" s="83"/>
      <c r="G842" s="83"/>
      <c r="H842" s="83"/>
      <c r="I842" s="83"/>
      <c r="J842" s="83"/>
    </row>
    <row r="843">
      <c r="A843" s="83"/>
      <c r="B843" s="83"/>
      <c r="C843" s="83"/>
      <c r="D843" s="83"/>
      <c r="F843" s="83"/>
      <c r="G843" s="83"/>
      <c r="H843" s="83"/>
      <c r="I843" s="83"/>
      <c r="J843" s="83"/>
    </row>
    <row r="844">
      <c r="A844" s="83"/>
      <c r="B844" s="83"/>
      <c r="C844" s="83"/>
      <c r="D844" s="83"/>
      <c r="F844" s="83"/>
      <c r="G844" s="83"/>
      <c r="H844" s="83"/>
      <c r="I844" s="83"/>
      <c r="J844" s="83"/>
    </row>
    <row r="845">
      <c r="A845" s="83"/>
      <c r="B845" s="83"/>
      <c r="C845" s="83"/>
      <c r="D845" s="83"/>
      <c r="F845" s="83"/>
      <c r="G845" s="83"/>
      <c r="H845" s="83"/>
      <c r="I845" s="83"/>
      <c r="J845" s="83"/>
    </row>
    <row r="846">
      <c r="A846" s="83"/>
      <c r="B846" s="83"/>
      <c r="C846" s="83"/>
      <c r="D846" s="83"/>
      <c r="F846" s="83"/>
      <c r="G846" s="83"/>
      <c r="H846" s="83"/>
      <c r="I846" s="83"/>
      <c r="J846" s="83"/>
    </row>
    <row r="847">
      <c r="A847" s="83"/>
      <c r="B847" s="83"/>
      <c r="C847" s="83"/>
      <c r="D847" s="83"/>
      <c r="F847" s="83"/>
      <c r="G847" s="83"/>
      <c r="H847" s="83"/>
      <c r="I847" s="83"/>
      <c r="J847" s="83"/>
    </row>
    <row r="848">
      <c r="A848" s="83"/>
      <c r="B848" s="83"/>
      <c r="C848" s="83"/>
      <c r="D848" s="83"/>
      <c r="F848" s="83"/>
      <c r="G848" s="83"/>
      <c r="H848" s="83"/>
      <c r="I848" s="83"/>
      <c r="J848" s="83"/>
    </row>
    <row r="849">
      <c r="A849" s="83"/>
      <c r="B849" s="83"/>
      <c r="C849" s="83"/>
      <c r="D849" s="83"/>
      <c r="F849" s="83"/>
      <c r="G849" s="83"/>
      <c r="H849" s="83"/>
      <c r="I849" s="83"/>
      <c r="J849" s="83"/>
    </row>
    <row r="850">
      <c r="A850" s="83"/>
      <c r="B850" s="83"/>
      <c r="C850" s="83"/>
      <c r="D850" s="83"/>
      <c r="F850" s="83"/>
      <c r="G850" s="83"/>
      <c r="H850" s="83"/>
      <c r="I850" s="83"/>
      <c r="J850" s="83"/>
    </row>
    <row r="851">
      <c r="A851" s="83"/>
      <c r="B851" s="83"/>
      <c r="C851" s="83"/>
      <c r="D851" s="83"/>
      <c r="F851" s="83"/>
      <c r="G851" s="83"/>
      <c r="H851" s="83"/>
      <c r="I851" s="83"/>
      <c r="J851" s="83"/>
    </row>
    <row r="852">
      <c r="A852" s="83"/>
      <c r="B852" s="83"/>
      <c r="C852" s="83"/>
      <c r="D852" s="83"/>
      <c r="F852" s="83"/>
      <c r="G852" s="83"/>
      <c r="H852" s="83"/>
      <c r="I852" s="83"/>
      <c r="J852" s="83"/>
    </row>
    <row r="853">
      <c r="A853" s="83"/>
      <c r="B853" s="83"/>
      <c r="C853" s="83"/>
      <c r="D853" s="83"/>
      <c r="F853" s="83"/>
      <c r="G853" s="83"/>
      <c r="H853" s="83"/>
      <c r="I853" s="83"/>
      <c r="J853" s="83"/>
    </row>
    <row r="854">
      <c r="A854" s="83"/>
      <c r="B854" s="83"/>
      <c r="C854" s="83"/>
      <c r="D854" s="83"/>
      <c r="F854" s="83"/>
      <c r="G854" s="83"/>
      <c r="H854" s="83"/>
      <c r="I854" s="83"/>
      <c r="J854" s="83"/>
    </row>
    <row r="855">
      <c r="A855" s="83"/>
      <c r="B855" s="83"/>
      <c r="C855" s="83"/>
      <c r="D855" s="83"/>
      <c r="F855" s="83"/>
      <c r="G855" s="83"/>
      <c r="H855" s="83"/>
      <c r="I855" s="83"/>
      <c r="J855" s="83"/>
    </row>
    <row r="856">
      <c r="A856" s="83"/>
      <c r="B856" s="83"/>
      <c r="C856" s="83"/>
      <c r="D856" s="83"/>
      <c r="F856" s="83"/>
      <c r="G856" s="83"/>
      <c r="H856" s="83"/>
      <c r="I856" s="83"/>
      <c r="J856" s="83"/>
    </row>
    <row r="857">
      <c r="A857" s="83"/>
      <c r="B857" s="83"/>
      <c r="C857" s="83"/>
      <c r="D857" s="83"/>
      <c r="F857" s="83"/>
      <c r="G857" s="83"/>
      <c r="H857" s="83"/>
      <c r="I857" s="83"/>
      <c r="J857" s="83"/>
    </row>
    <row r="858">
      <c r="A858" s="83"/>
      <c r="B858" s="83"/>
      <c r="C858" s="83"/>
      <c r="D858" s="83"/>
      <c r="F858" s="83"/>
      <c r="G858" s="83"/>
      <c r="H858" s="83"/>
      <c r="I858" s="83"/>
      <c r="J858" s="83"/>
    </row>
    <row r="859">
      <c r="A859" s="83"/>
      <c r="B859" s="83"/>
      <c r="C859" s="83"/>
      <c r="D859" s="83"/>
      <c r="F859" s="83"/>
      <c r="G859" s="83"/>
      <c r="H859" s="83"/>
      <c r="I859" s="83"/>
      <c r="J859" s="83"/>
    </row>
    <row r="860">
      <c r="A860" s="83"/>
      <c r="B860" s="83"/>
      <c r="C860" s="83"/>
      <c r="D860" s="83"/>
      <c r="F860" s="83"/>
      <c r="G860" s="83"/>
      <c r="H860" s="83"/>
      <c r="I860" s="83"/>
      <c r="J860" s="83"/>
    </row>
    <row r="861">
      <c r="A861" s="83"/>
      <c r="B861" s="83"/>
      <c r="C861" s="83"/>
      <c r="D861" s="83"/>
      <c r="F861" s="83"/>
      <c r="G861" s="83"/>
      <c r="H861" s="83"/>
      <c r="I861" s="83"/>
      <c r="J861" s="83"/>
    </row>
    <row r="862">
      <c r="A862" s="83"/>
      <c r="B862" s="83"/>
      <c r="C862" s="83"/>
      <c r="D862" s="83"/>
      <c r="F862" s="83"/>
      <c r="G862" s="83"/>
      <c r="H862" s="83"/>
      <c r="I862" s="83"/>
      <c r="J862" s="83"/>
    </row>
    <row r="863">
      <c r="A863" s="83"/>
      <c r="B863" s="83"/>
      <c r="C863" s="83"/>
      <c r="D863" s="83"/>
      <c r="F863" s="83"/>
      <c r="G863" s="83"/>
      <c r="H863" s="83"/>
      <c r="I863" s="83"/>
      <c r="J863" s="83"/>
    </row>
    <row r="864">
      <c r="A864" s="83"/>
      <c r="B864" s="83"/>
      <c r="C864" s="83"/>
      <c r="D864" s="83"/>
      <c r="F864" s="83"/>
      <c r="G864" s="83"/>
      <c r="H864" s="83"/>
      <c r="I864" s="83"/>
      <c r="J864" s="83"/>
    </row>
    <row r="865">
      <c r="A865" s="83"/>
      <c r="B865" s="83"/>
      <c r="C865" s="83"/>
      <c r="D865" s="83"/>
      <c r="F865" s="83"/>
      <c r="G865" s="83"/>
      <c r="H865" s="83"/>
      <c r="I865" s="83"/>
      <c r="J865" s="83"/>
    </row>
    <row r="866">
      <c r="A866" s="83"/>
      <c r="B866" s="83"/>
      <c r="C866" s="83"/>
      <c r="D866" s="83"/>
      <c r="F866" s="83"/>
      <c r="G866" s="83"/>
      <c r="H866" s="83"/>
      <c r="I866" s="83"/>
      <c r="J866" s="83"/>
    </row>
    <row r="867">
      <c r="A867" s="83"/>
      <c r="B867" s="83"/>
      <c r="C867" s="83"/>
      <c r="D867" s="83"/>
      <c r="F867" s="83"/>
      <c r="G867" s="83"/>
      <c r="H867" s="83"/>
      <c r="I867" s="83"/>
      <c r="J867" s="83"/>
    </row>
    <row r="868">
      <c r="A868" s="83"/>
      <c r="B868" s="83"/>
      <c r="C868" s="83"/>
      <c r="D868" s="83"/>
      <c r="F868" s="83"/>
      <c r="G868" s="83"/>
      <c r="H868" s="83"/>
      <c r="I868" s="83"/>
      <c r="J868" s="83"/>
    </row>
    <row r="869">
      <c r="A869" s="83"/>
      <c r="B869" s="83"/>
      <c r="C869" s="83"/>
      <c r="D869" s="83"/>
      <c r="F869" s="83"/>
      <c r="G869" s="83"/>
      <c r="H869" s="83"/>
      <c r="I869" s="83"/>
      <c r="J869" s="83"/>
    </row>
    <row r="870">
      <c r="A870" s="83"/>
      <c r="B870" s="83"/>
      <c r="C870" s="83"/>
      <c r="D870" s="83"/>
      <c r="F870" s="83"/>
      <c r="G870" s="83"/>
      <c r="H870" s="83"/>
      <c r="I870" s="83"/>
      <c r="J870" s="83"/>
    </row>
    <row r="871">
      <c r="A871" s="83"/>
      <c r="B871" s="83"/>
      <c r="C871" s="83"/>
      <c r="D871" s="83"/>
      <c r="F871" s="83"/>
      <c r="G871" s="83"/>
      <c r="H871" s="83"/>
      <c r="I871" s="83"/>
      <c r="J871" s="83"/>
    </row>
    <row r="872">
      <c r="A872" s="83"/>
      <c r="B872" s="83"/>
      <c r="C872" s="83"/>
      <c r="D872" s="83"/>
      <c r="F872" s="83"/>
      <c r="G872" s="83"/>
      <c r="H872" s="83"/>
      <c r="I872" s="83"/>
      <c r="J872" s="83"/>
    </row>
    <row r="873">
      <c r="A873" s="83"/>
      <c r="B873" s="83"/>
      <c r="C873" s="83"/>
      <c r="D873" s="83"/>
      <c r="F873" s="83"/>
      <c r="G873" s="83"/>
      <c r="H873" s="83"/>
      <c r="I873" s="83"/>
      <c r="J873" s="83"/>
    </row>
    <row r="874">
      <c r="A874" s="83"/>
      <c r="B874" s="83"/>
      <c r="C874" s="83"/>
      <c r="D874" s="83"/>
      <c r="F874" s="83"/>
      <c r="G874" s="83"/>
      <c r="H874" s="83"/>
      <c r="I874" s="83"/>
      <c r="J874" s="83"/>
    </row>
    <row r="875">
      <c r="A875" s="83"/>
      <c r="B875" s="83"/>
      <c r="C875" s="83"/>
      <c r="D875" s="83"/>
      <c r="F875" s="83"/>
      <c r="G875" s="83"/>
      <c r="H875" s="83"/>
      <c r="I875" s="83"/>
      <c r="J875" s="83"/>
    </row>
    <row r="876">
      <c r="A876" s="83"/>
      <c r="B876" s="83"/>
      <c r="C876" s="83"/>
      <c r="D876" s="83"/>
      <c r="F876" s="83"/>
      <c r="G876" s="83"/>
      <c r="H876" s="83"/>
      <c r="I876" s="83"/>
      <c r="J876" s="83"/>
    </row>
    <row r="877">
      <c r="A877" s="83"/>
      <c r="B877" s="83"/>
      <c r="C877" s="83"/>
      <c r="D877" s="83"/>
      <c r="F877" s="83"/>
      <c r="G877" s="83"/>
      <c r="H877" s="83"/>
      <c r="I877" s="83"/>
      <c r="J877" s="83"/>
    </row>
    <row r="878">
      <c r="A878" s="83"/>
      <c r="B878" s="83"/>
      <c r="C878" s="83"/>
      <c r="D878" s="83"/>
      <c r="F878" s="83"/>
      <c r="G878" s="83"/>
      <c r="H878" s="83"/>
      <c r="I878" s="83"/>
      <c r="J878" s="83"/>
    </row>
    <row r="879">
      <c r="A879" s="83"/>
      <c r="B879" s="83"/>
      <c r="C879" s="83"/>
      <c r="D879" s="83"/>
      <c r="F879" s="83"/>
      <c r="G879" s="83"/>
      <c r="H879" s="83"/>
      <c r="I879" s="83"/>
      <c r="J879" s="83"/>
    </row>
    <row r="880">
      <c r="A880" s="83"/>
      <c r="B880" s="83"/>
      <c r="C880" s="83"/>
      <c r="D880" s="83"/>
      <c r="F880" s="83"/>
      <c r="G880" s="83"/>
      <c r="H880" s="83"/>
      <c r="I880" s="83"/>
      <c r="J880" s="83"/>
    </row>
    <row r="881">
      <c r="A881" s="83"/>
      <c r="B881" s="83"/>
      <c r="C881" s="83"/>
      <c r="D881" s="83"/>
      <c r="F881" s="83"/>
      <c r="G881" s="83"/>
      <c r="H881" s="83"/>
      <c r="I881" s="83"/>
      <c r="J881" s="83"/>
    </row>
    <row r="882">
      <c r="A882" s="83"/>
      <c r="B882" s="83"/>
      <c r="C882" s="83"/>
      <c r="D882" s="83"/>
      <c r="F882" s="83"/>
      <c r="G882" s="83"/>
      <c r="H882" s="83"/>
      <c r="I882" s="83"/>
      <c r="J882" s="83"/>
    </row>
    <row r="883">
      <c r="A883" s="83"/>
      <c r="B883" s="83"/>
      <c r="C883" s="83"/>
      <c r="D883" s="83"/>
      <c r="F883" s="83"/>
      <c r="G883" s="83"/>
      <c r="H883" s="83"/>
      <c r="I883" s="83"/>
      <c r="J883" s="83"/>
    </row>
    <row r="884">
      <c r="A884" s="83"/>
      <c r="B884" s="83"/>
      <c r="C884" s="83"/>
      <c r="D884" s="83"/>
      <c r="F884" s="83"/>
      <c r="G884" s="83"/>
      <c r="H884" s="83"/>
      <c r="I884" s="83"/>
      <c r="J884" s="83"/>
    </row>
    <row r="885">
      <c r="A885" s="83"/>
      <c r="B885" s="83"/>
      <c r="C885" s="83"/>
      <c r="D885" s="83"/>
      <c r="F885" s="83"/>
      <c r="G885" s="83"/>
      <c r="H885" s="83"/>
      <c r="I885" s="83"/>
      <c r="J885" s="83"/>
    </row>
    <row r="886">
      <c r="A886" s="83"/>
      <c r="B886" s="83"/>
      <c r="C886" s="83"/>
      <c r="D886" s="83"/>
      <c r="F886" s="83"/>
      <c r="G886" s="83"/>
      <c r="H886" s="83"/>
      <c r="I886" s="83"/>
      <c r="J886" s="83"/>
    </row>
    <row r="887">
      <c r="A887" s="83"/>
      <c r="B887" s="83"/>
      <c r="C887" s="83"/>
      <c r="D887" s="83"/>
      <c r="F887" s="83"/>
      <c r="G887" s="83"/>
      <c r="H887" s="83"/>
      <c r="I887" s="83"/>
      <c r="J887" s="83"/>
    </row>
    <row r="888">
      <c r="A888" s="83"/>
      <c r="B888" s="83"/>
      <c r="C888" s="83"/>
      <c r="D888" s="83"/>
      <c r="F888" s="83"/>
      <c r="G888" s="83"/>
      <c r="H888" s="83"/>
      <c r="I888" s="83"/>
      <c r="J888" s="83"/>
    </row>
    <row r="889">
      <c r="A889" s="83"/>
      <c r="B889" s="83"/>
      <c r="C889" s="83"/>
      <c r="D889" s="83"/>
      <c r="F889" s="83"/>
      <c r="G889" s="83"/>
      <c r="H889" s="83"/>
      <c r="I889" s="83"/>
      <c r="J889" s="83"/>
    </row>
    <row r="890">
      <c r="A890" s="83"/>
      <c r="B890" s="83"/>
      <c r="C890" s="83"/>
      <c r="D890" s="83"/>
      <c r="F890" s="83"/>
      <c r="G890" s="83"/>
      <c r="H890" s="83"/>
      <c r="I890" s="83"/>
      <c r="J890" s="83"/>
    </row>
    <row r="891">
      <c r="A891" s="83"/>
      <c r="B891" s="83"/>
      <c r="C891" s="83"/>
      <c r="D891" s="83"/>
      <c r="F891" s="83"/>
      <c r="G891" s="83"/>
      <c r="H891" s="83"/>
      <c r="I891" s="83"/>
      <c r="J891" s="83"/>
    </row>
    <row r="892">
      <c r="A892" s="83"/>
      <c r="B892" s="83"/>
      <c r="C892" s="83"/>
      <c r="D892" s="83"/>
      <c r="F892" s="83"/>
      <c r="G892" s="83"/>
      <c r="H892" s="83"/>
      <c r="I892" s="83"/>
      <c r="J892" s="83"/>
    </row>
    <row r="893">
      <c r="A893" s="83"/>
      <c r="B893" s="83"/>
      <c r="C893" s="83"/>
      <c r="D893" s="83"/>
      <c r="F893" s="83"/>
      <c r="G893" s="83"/>
      <c r="H893" s="83"/>
      <c r="I893" s="83"/>
      <c r="J893" s="83"/>
    </row>
    <row r="894">
      <c r="A894" s="83"/>
      <c r="B894" s="83"/>
      <c r="C894" s="83"/>
      <c r="D894" s="83"/>
      <c r="F894" s="83"/>
      <c r="G894" s="83"/>
      <c r="H894" s="83"/>
      <c r="I894" s="83"/>
      <c r="J894" s="83"/>
    </row>
    <row r="895">
      <c r="A895" s="83"/>
      <c r="B895" s="83"/>
      <c r="C895" s="83"/>
      <c r="D895" s="83"/>
      <c r="F895" s="83"/>
      <c r="G895" s="83"/>
      <c r="H895" s="83"/>
      <c r="I895" s="83"/>
      <c r="J895" s="83"/>
    </row>
    <row r="896">
      <c r="A896" s="83"/>
      <c r="B896" s="83"/>
      <c r="C896" s="83"/>
      <c r="D896" s="83"/>
      <c r="F896" s="83"/>
      <c r="G896" s="83"/>
      <c r="H896" s="83"/>
      <c r="I896" s="83"/>
      <c r="J896" s="83"/>
    </row>
    <row r="897">
      <c r="A897" s="83"/>
      <c r="B897" s="83"/>
      <c r="C897" s="83"/>
      <c r="D897" s="83"/>
      <c r="F897" s="83"/>
      <c r="G897" s="83"/>
      <c r="H897" s="83"/>
      <c r="I897" s="83"/>
      <c r="J897" s="83"/>
    </row>
    <row r="898">
      <c r="A898" s="83"/>
      <c r="B898" s="83"/>
      <c r="C898" s="83"/>
      <c r="D898" s="83"/>
      <c r="F898" s="83"/>
      <c r="G898" s="83"/>
      <c r="H898" s="83"/>
      <c r="I898" s="83"/>
      <c r="J898" s="83"/>
    </row>
    <row r="899">
      <c r="A899" s="83"/>
      <c r="B899" s="83"/>
      <c r="C899" s="83"/>
      <c r="D899" s="83"/>
      <c r="F899" s="83"/>
      <c r="G899" s="83"/>
      <c r="H899" s="83"/>
      <c r="I899" s="83"/>
      <c r="J899" s="83"/>
    </row>
    <row r="900">
      <c r="A900" s="83"/>
      <c r="B900" s="83"/>
      <c r="C900" s="83"/>
      <c r="D900" s="83"/>
      <c r="F900" s="83"/>
      <c r="G900" s="83"/>
      <c r="H900" s="83"/>
      <c r="I900" s="83"/>
      <c r="J900" s="83"/>
    </row>
    <row r="901">
      <c r="A901" s="83"/>
      <c r="B901" s="83"/>
      <c r="C901" s="83"/>
      <c r="D901" s="83"/>
      <c r="F901" s="83"/>
      <c r="G901" s="83"/>
      <c r="H901" s="83"/>
      <c r="I901" s="83"/>
      <c r="J901" s="83"/>
    </row>
    <row r="902">
      <c r="A902" s="83"/>
      <c r="B902" s="83"/>
      <c r="C902" s="83"/>
      <c r="D902" s="83"/>
      <c r="F902" s="83"/>
      <c r="G902" s="83"/>
      <c r="H902" s="83"/>
      <c r="I902" s="83"/>
      <c r="J902" s="83"/>
    </row>
    <row r="903">
      <c r="A903" s="83"/>
      <c r="B903" s="83"/>
      <c r="C903" s="83"/>
      <c r="D903" s="83"/>
      <c r="F903" s="83"/>
      <c r="G903" s="83"/>
      <c r="H903" s="83"/>
      <c r="I903" s="83"/>
      <c r="J903" s="83"/>
    </row>
    <row r="904">
      <c r="A904" s="83"/>
      <c r="B904" s="83"/>
      <c r="C904" s="83"/>
      <c r="D904" s="83"/>
      <c r="F904" s="83"/>
      <c r="G904" s="83"/>
      <c r="H904" s="83"/>
      <c r="I904" s="83"/>
      <c r="J904" s="83"/>
    </row>
    <row r="905">
      <c r="A905" s="83"/>
      <c r="B905" s="83"/>
      <c r="C905" s="83"/>
      <c r="D905" s="83"/>
      <c r="F905" s="83"/>
      <c r="G905" s="83"/>
      <c r="H905" s="83"/>
      <c r="I905" s="83"/>
      <c r="J905" s="83"/>
    </row>
    <row r="906">
      <c r="A906" s="83"/>
      <c r="B906" s="83"/>
      <c r="C906" s="83"/>
      <c r="D906" s="83"/>
      <c r="F906" s="83"/>
      <c r="G906" s="83"/>
      <c r="H906" s="83"/>
      <c r="I906" s="83"/>
      <c r="J906" s="83"/>
    </row>
    <row r="907">
      <c r="A907" s="83"/>
      <c r="B907" s="83"/>
      <c r="C907" s="83"/>
      <c r="D907" s="83"/>
      <c r="F907" s="83"/>
      <c r="G907" s="83"/>
      <c r="H907" s="83"/>
      <c r="I907" s="83"/>
      <c r="J907" s="83"/>
    </row>
    <row r="908">
      <c r="A908" s="83"/>
      <c r="B908" s="83"/>
      <c r="C908" s="83"/>
      <c r="D908" s="83"/>
      <c r="F908" s="83"/>
      <c r="G908" s="83"/>
      <c r="H908" s="83"/>
      <c r="I908" s="83"/>
      <c r="J908" s="83"/>
    </row>
    <row r="909">
      <c r="A909" s="83"/>
      <c r="B909" s="83"/>
      <c r="C909" s="83"/>
      <c r="D909" s="83"/>
      <c r="F909" s="83"/>
      <c r="G909" s="83"/>
      <c r="H909" s="83"/>
      <c r="I909" s="83"/>
      <c r="J909" s="83"/>
    </row>
    <row r="910">
      <c r="A910" s="83"/>
      <c r="B910" s="83"/>
      <c r="C910" s="83"/>
      <c r="D910" s="83"/>
      <c r="F910" s="83"/>
      <c r="G910" s="83"/>
      <c r="H910" s="83"/>
      <c r="I910" s="83"/>
      <c r="J910" s="83"/>
    </row>
    <row r="911">
      <c r="A911" s="83"/>
      <c r="B911" s="83"/>
      <c r="C911" s="83"/>
      <c r="D911" s="83"/>
      <c r="F911" s="83"/>
      <c r="G911" s="83"/>
      <c r="H911" s="83"/>
      <c r="I911" s="83"/>
      <c r="J911" s="83"/>
    </row>
    <row r="912">
      <c r="A912" s="83"/>
      <c r="B912" s="83"/>
      <c r="C912" s="83"/>
      <c r="D912" s="83"/>
      <c r="F912" s="83"/>
      <c r="G912" s="83"/>
      <c r="H912" s="83"/>
      <c r="I912" s="83"/>
      <c r="J912" s="83"/>
    </row>
    <row r="913">
      <c r="A913" s="83"/>
      <c r="B913" s="83"/>
      <c r="C913" s="83"/>
      <c r="D913" s="83"/>
      <c r="F913" s="83"/>
      <c r="G913" s="83"/>
      <c r="H913" s="83"/>
      <c r="I913" s="83"/>
      <c r="J913" s="83"/>
    </row>
    <row r="914">
      <c r="A914" s="83"/>
      <c r="B914" s="83"/>
      <c r="C914" s="83"/>
      <c r="D914" s="83"/>
      <c r="F914" s="83"/>
      <c r="G914" s="83"/>
      <c r="H914" s="83"/>
      <c r="I914" s="83"/>
      <c r="J914" s="83"/>
    </row>
    <row r="915">
      <c r="A915" s="83"/>
      <c r="B915" s="83"/>
      <c r="C915" s="83"/>
      <c r="D915" s="83"/>
      <c r="F915" s="83"/>
      <c r="G915" s="83"/>
      <c r="H915" s="83"/>
      <c r="I915" s="83"/>
      <c r="J915" s="83"/>
    </row>
    <row r="916">
      <c r="A916" s="83"/>
      <c r="B916" s="83"/>
      <c r="C916" s="83"/>
      <c r="D916" s="83"/>
      <c r="F916" s="83"/>
      <c r="G916" s="83"/>
      <c r="H916" s="83"/>
      <c r="I916" s="83"/>
      <c r="J916" s="83"/>
    </row>
    <row r="917">
      <c r="A917" s="83"/>
      <c r="B917" s="83"/>
      <c r="C917" s="83"/>
      <c r="D917" s="83"/>
      <c r="F917" s="83"/>
      <c r="G917" s="83"/>
      <c r="H917" s="83"/>
      <c r="I917" s="83"/>
      <c r="J917" s="83"/>
    </row>
    <row r="918">
      <c r="A918" s="83"/>
      <c r="B918" s="83"/>
      <c r="C918" s="83"/>
      <c r="D918" s="83"/>
      <c r="F918" s="83"/>
      <c r="G918" s="83"/>
      <c r="H918" s="83"/>
      <c r="I918" s="83"/>
      <c r="J918" s="83"/>
    </row>
    <row r="919">
      <c r="A919" s="83"/>
      <c r="B919" s="83"/>
      <c r="C919" s="83"/>
      <c r="D919" s="83"/>
      <c r="F919" s="83"/>
      <c r="G919" s="83"/>
      <c r="H919" s="83"/>
      <c r="I919" s="83"/>
      <c r="J919" s="83"/>
    </row>
    <row r="920">
      <c r="A920" s="83"/>
      <c r="B920" s="83"/>
      <c r="C920" s="83"/>
      <c r="D920" s="83"/>
      <c r="F920" s="83"/>
      <c r="G920" s="83"/>
      <c r="H920" s="83"/>
      <c r="I920" s="83"/>
      <c r="J920" s="83"/>
    </row>
    <row r="921">
      <c r="A921" s="83"/>
      <c r="B921" s="83"/>
      <c r="C921" s="83"/>
      <c r="D921" s="83"/>
      <c r="F921" s="83"/>
      <c r="G921" s="83"/>
      <c r="H921" s="83"/>
      <c r="I921" s="83"/>
      <c r="J921" s="83"/>
    </row>
    <row r="922">
      <c r="A922" s="83"/>
      <c r="B922" s="83"/>
      <c r="C922" s="83"/>
      <c r="D922" s="83"/>
      <c r="F922" s="83"/>
      <c r="G922" s="83"/>
      <c r="H922" s="83"/>
      <c r="I922" s="83"/>
      <c r="J922" s="83"/>
    </row>
    <row r="923">
      <c r="A923" s="83"/>
      <c r="B923" s="83"/>
      <c r="C923" s="83"/>
      <c r="D923" s="83"/>
      <c r="F923" s="83"/>
      <c r="G923" s="83"/>
      <c r="H923" s="83"/>
      <c r="I923" s="83"/>
      <c r="J923" s="83"/>
    </row>
    <row r="924">
      <c r="A924" s="83"/>
      <c r="B924" s="83"/>
      <c r="C924" s="83"/>
      <c r="D924" s="83"/>
      <c r="F924" s="83"/>
      <c r="G924" s="83"/>
      <c r="H924" s="83"/>
      <c r="I924" s="83"/>
      <c r="J924" s="83"/>
    </row>
    <row r="925">
      <c r="A925" s="83"/>
      <c r="B925" s="83"/>
      <c r="C925" s="83"/>
      <c r="D925" s="83"/>
      <c r="F925" s="83"/>
      <c r="G925" s="83"/>
      <c r="H925" s="83"/>
      <c r="I925" s="83"/>
      <c r="J925" s="83"/>
    </row>
    <row r="926">
      <c r="A926" s="83"/>
      <c r="B926" s="83"/>
      <c r="C926" s="83"/>
      <c r="D926" s="83"/>
      <c r="F926" s="83"/>
      <c r="G926" s="83"/>
      <c r="H926" s="83"/>
      <c r="I926" s="83"/>
      <c r="J926" s="83"/>
    </row>
    <row r="927">
      <c r="A927" s="83"/>
      <c r="B927" s="83"/>
      <c r="C927" s="83"/>
      <c r="D927" s="83"/>
      <c r="F927" s="83"/>
      <c r="G927" s="83"/>
      <c r="H927" s="83"/>
      <c r="I927" s="83"/>
      <c r="J927" s="83"/>
    </row>
    <row r="928">
      <c r="A928" s="83"/>
      <c r="B928" s="83"/>
      <c r="C928" s="83"/>
      <c r="D928" s="83"/>
      <c r="F928" s="83"/>
      <c r="G928" s="83"/>
      <c r="H928" s="83"/>
      <c r="I928" s="83"/>
      <c r="J928" s="83"/>
    </row>
    <row r="929">
      <c r="A929" s="83"/>
      <c r="B929" s="83"/>
      <c r="C929" s="83"/>
      <c r="D929" s="83"/>
      <c r="F929" s="83"/>
      <c r="G929" s="83"/>
      <c r="H929" s="83"/>
      <c r="I929" s="83"/>
      <c r="J929" s="83"/>
    </row>
    <row r="930">
      <c r="A930" s="83"/>
      <c r="B930" s="83"/>
      <c r="C930" s="83"/>
      <c r="D930" s="83"/>
      <c r="F930" s="83"/>
      <c r="G930" s="83"/>
      <c r="H930" s="83"/>
      <c r="I930" s="83"/>
      <c r="J930" s="83"/>
    </row>
    <row r="931">
      <c r="A931" s="83"/>
      <c r="B931" s="83"/>
      <c r="C931" s="83"/>
      <c r="D931" s="83"/>
      <c r="F931" s="83"/>
      <c r="G931" s="83"/>
      <c r="H931" s="83"/>
      <c r="I931" s="83"/>
      <c r="J931" s="83"/>
    </row>
    <row r="932">
      <c r="A932" s="83"/>
      <c r="B932" s="83"/>
      <c r="C932" s="83"/>
      <c r="D932" s="83"/>
      <c r="F932" s="83"/>
      <c r="G932" s="83"/>
      <c r="H932" s="83"/>
      <c r="I932" s="83"/>
      <c r="J932" s="83"/>
    </row>
    <row r="933">
      <c r="A933" s="83"/>
      <c r="B933" s="83"/>
      <c r="C933" s="83"/>
      <c r="D933" s="83"/>
      <c r="F933" s="83"/>
      <c r="G933" s="83"/>
      <c r="H933" s="83"/>
      <c r="I933" s="83"/>
      <c r="J933" s="83"/>
    </row>
    <row r="934">
      <c r="A934" s="83"/>
      <c r="B934" s="83"/>
      <c r="C934" s="83"/>
      <c r="D934" s="83"/>
      <c r="F934" s="83"/>
      <c r="G934" s="83"/>
      <c r="H934" s="83"/>
      <c r="I934" s="83"/>
      <c r="J934" s="83"/>
    </row>
    <row r="935">
      <c r="A935" s="83"/>
      <c r="B935" s="83"/>
      <c r="C935" s="83"/>
      <c r="D935" s="83"/>
      <c r="F935" s="83"/>
      <c r="G935" s="83"/>
      <c r="H935" s="83"/>
      <c r="I935" s="83"/>
      <c r="J935" s="83"/>
    </row>
    <row r="936">
      <c r="A936" s="83"/>
      <c r="B936" s="83"/>
      <c r="C936" s="83"/>
      <c r="D936" s="83"/>
      <c r="F936" s="83"/>
      <c r="G936" s="83"/>
      <c r="H936" s="83"/>
      <c r="I936" s="83"/>
      <c r="J936" s="83"/>
    </row>
    <row r="937">
      <c r="A937" s="83"/>
      <c r="B937" s="83"/>
      <c r="C937" s="83"/>
      <c r="D937" s="83"/>
      <c r="F937" s="83"/>
      <c r="G937" s="83"/>
      <c r="H937" s="83"/>
      <c r="I937" s="83"/>
      <c r="J937" s="83"/>
    </row>
    <row r="938">
      <c r="A938" s="83"/>
      <c r="B938" s="83"/>
      <c r="C938" s="83"/>
      <c r="D938" s="83"/>
      <c r="F938" s="83"/>
      <c r="G938" s="83"/>
      <c r="H938" s="83"/>
      <c r="I938" s="83"/>
      <c r="J938" s="83"/>
    </row>
    <row r="939">
      <c r="A939" s="83"/>
      <c r="B939" s="83"/>
      <c r="C939" s="83"/>
      <c r="D939" s="83"/>
      <c r="F939" s="83"/>
      <c r="G939" s="83"/>
      <c r="H939" s="83"/>
      <c r="I939" s="83"/>
      <c r="J939" s="83"/>
    </row>
    <row r="940">
      <c r="A940" s="83"/>
      <c r="B940" s="83"/>
      <c r="C940" s="83"/>
      <c r="D940" s="83"/>
      <c r="F940" s="83"/>
      <c r="G940" s="83"/>
      <c r="H940" s="83"/>
      <c r="I940" s="83"/>
      <c r="J940" s="83"/>
    </row>
    <row r="941">
      <c r="A941" s="83"/>
      <c r="B941" s="83"/>
      <c r="C941" s="83"/>
      <c r="D941" s="83"/>
      <c r="F941" s="83"/>
      <c r="G941" s="83"/>
      <c r="H941" s="83"/>
      <c r="I941" s="83"/>
      <c r="J941" s="83"/>
    </row>
    <row r="942">
      <c r="A942" s="83"/>
      <c r="B942" s="83"/>
      <c r="C942" s="83"/>
      <c r="D942" s="83"/>
      <c r="F942" s="83"/>
      <c r="G942" s="83"/>
      <c r="H942" s="83"/>
      <c r="I942" s="83"/>
      <c r="J942" s="83"/>
    </row>
    <row r="943">
      <c r="A943" s="83"/>
      <c r="B943" s="83"/>
      <c r="C943" s="83"/>
      <c r="D943" s="83"/>
      <c r="F943" s="83"/>
      <c r="G943" s="83"/>
      <c r="H943" s="83"/>
      <c r="I943" s="83"/>
      <c r="J943" s="83"/>
    </row>
    <row r="944">
      <c r="A944" s="83"/>
      <c r="B944" s="83"/>
      <c r="C944" s="83"/>
      <c r="D944" s="83"/>
      <c r="F944" s="83"/>
      <c r="G944" s="83"/>
      <c r="H944" s="83"/>
      <c r="I944" s="83"/>
      <c r="J944" s="83"/>
    </row>
    <row r="945">
      <c r="A945" s="83"/>
      <c r="B945" s="83"/>
      <c r="C945" s="83"/>
      <c r="D945" s="83"/>
      <c r="F945" s="83"/>
      <c r="G945" s="83"/>
      <c r="H945" s="83"/>
      <c r="I945" s="83"/>
      <c r="J945" s="83"/>
    </row>
    <row r="946">
      <c r="A946" s="83"/>
      <c r="B946" s="83"/>
      <c r="C946" s="83"/>
      <c r="D946" s="83"/>
      <c r="F946" s="83"/>
      <c r="G946" s="83"/>
      <c r="H946" s="83"/>
      <c r="I946" s="83"/>
      <c r="J946" s="83"/>
    </row>
    <row r="947">
      <c r="A947" s="83"/>
      <c r="B947" s="83"/>
      <c r="C947" s="83"/>
      <c r="D947" s="83"/>
      <c r="F947" s="83"/>
      <c r="G947" s="83"/>
      <c r="H947" s="83"/>
      <c r="I947" s="83"/>
      <c r="J947" s="83"/>
    </row>
    <row r="948">
      <c r="A948" s="83"/>
      <c r="B948" s="83"/>
      <c r="C948" s="83"/>
      <c r="D948" s="83"/>
      <c r="F948" s="83"/>
      <c r="G948" s="83"/>
      <c r="H948" s="83"/>
      <c r="I948" s="83"/>
      <c r="J948" s="83"/>
    </row>
    <row r="949">
      <c r="A949" s="83"/>
      <c r="B949" s="83"/>
      <c r="C949" s="83"/>
      <c r="D949" s="83"/>
      <c r="F949" s="83"/>
      <c r="G949" s="83"/>
      <c r="H949" s="83"/>
      <c r="I949" s="83"/>
      <c r="J949" s="83"/>
    </row>
    <row r="950">
      <c r="A950" s="83"/>
      <c r="B950" s="83"/>
      <c r="C950" s="83"/>
      <c r="D950" s="83"/>
      <c r="F950" s="83"/>
      <c r="G950" s="83"/>
      <c r="H950" s="83"/>
      <c r="I950" s="83"/>
      <c r="J950" s="83"/>
    </row>
    <row r="951">
      <c r="A951" s="83"/>
      <c r="B951" s="83"/>
      <c r="C951" s="83"/>
      <c r="D951" s="83"/>
      <c r="F951" s="83"/>
      <c r="G951" s="83"/>
      <c r="H951" s="83"/>
      <c r="I951" s="83"/>
      <c r="J951" s="83"/>
    </row>
    <row r="952">
      <c r="A952" s="83"/>
      <c r="B952" s="83"/>
      <c r="C952" s="83"/>
      <c r="D952" s="83"/>
      <c r="F952" s="83"/>
      <c r="G952" s="83"/>
      <c r="H952" s="83"/>
      <c r="I952" s="83"/>
      <c r="J952" s="83"/>
    </row>
    <row r="953">
      <c r="A953" s="83"/>
      <c r="B953" s="83"/>
      <c r="C953" s="83"/>
      <c r="D953" s="83"/>
      <c r="F953" s="83"/>
      <c r="G953" s="83"/>
      <c r="H953" s="83"/>
      <c r="I953" s="83"/>
      <c r="J953" s="83"/>
    </row>
    <row r="954">
      <c r="A954" s="83"/>
      <c r="B954" s="83"/>
      <c r="C954" s="83"/>
      <c r="D954" s="83"/>
      <c r="F954" s="83"/>
      <c r="G954" s="83"/>
      <c r="H954" s="83"/>
      <c r="I954" s="83"/>
      <c r="J954" s="83"/>
    </row>
    <row r="955">
      <c r="A955" s="83"/>
      <c r="B955" s="83"/>
      <c r="C955" s="83"/>
      <c r="D955" s="83"/>
      <c r="F955" s="83"/>
      <c r="G955" s="83"/>
      <c r="H955" s="83"/>
      <c r="I955" s="83"/>
      <c r="J955" s="83"/>
    </row>
    <row r="956">
      <c r="A956" s="83"/>
      <c r="B956" s="83"/>
      <c r="C956" s="83"/>
      <c r="D956" s="83"/>
      <c r="F956" s="83"/>
      <c r="G956" s="83"/>
      <c r="H956" s="83"/>
      <c r="I956" s="83"/>
      <c r="J956" s="83"/>
    </row>
    <row r="957">
      <c r="A957" s="83"/>
      <c r="B957" s="83"/>
      <c r="C957" s="83"/>
      <c r="D957" s="83"/>
      <c r="F957" s="83"/>
      <c r="G957" s="83"/>
      <c r="H957" s="83"/>
      <c r="I957" s="83"/>
      <c r="J957" s="83"/>
    </row>
    <row r="958">
      <c r="A958" s="83"/>
      <c r="B958" s="83"/>
      <c r="C958" s="83"/>
      <c r="D958" s="83"/>
      <c r="F958" s="83"/>
      <c r="G958" s="83"/>
      <c r="H958" s="83"/>
      <c r="I958" s="83"/>
      <c r="J958" s="83"/>
    </row>
    <row r="959">
      <c r="A959" s="83"/>
      <c r="B959" s="83"/>
      <c r="C959" s="83"/>
      <c r="D959" s="83"/>
      <c r="F959" s="83"/>
      <c r="G959" s="83"/>
      <c r="H959" s="83"/>
      <c r="I959" s="83"/>
      <c r="J959" s="83"/>
    </row>
    <row r="960">
      <c r="A960" s="83"/>
      <c r="B960" s="83"/>
      <c r="C960" s="83"/>
      <c r="D960" s="83"/>
      <c r="F960" s="83"/>
      <c r="G960" s="83"/>
      <c r="H960" s="83"/>
      <c r="I960" s="83"/>
      <c r="J960" s="83"/>
    </row>
    <row r="961">
      <c r="A961" s="83"/>
      <c r="B961" s="83"/>
      <c r="C961" s="83"/>
      <c r="D961" s="83"/>
      <c r="F961" s="83"/>
      <c r="G961" s="83"/>
      <c r="H961" s="83"/>
      <c r="I961" s="83"/>
      <c r="J961" s="83"/>
    </row>
    <row r="962">
      <c r="A962" s="83"/>
      <c r="B962" s="83"/>
      <c r="C962" s="83"/>
      <c r="D962" s="83"/>
      <c r="F962" s="83"/>
      <c r="G962" s="83"/>
      <c r="H962" s="83"/>
      <c r="I962" s="83"/>
      <c r="J962" s="83"/>
    </row>
    <row r="963">
      <c r="A963" s="83"/>
      <c r="B963" s="83"/>
      <c r="C963" s="83"/>
      <c r="D963" s="83"/>
      <c r="F963" s="83"/>
      <c r="G963" s="83"/>
      <c r="H963" s="83"/>
      <c r="I963" s="83"/>
      <c r="J963" s="83"/>
    </row>
    <row r="964">
      <c r="A964" s="83"/>
      <c r="B964" s="83"/>
      <c r="C964" s="83"/>
      <c r="D964" s="83"/>
      <c r="F964" s="83"/>
      <c r="G964" s="83"/>
      <c r="H964" s="83"/>
      <c r="I964" s="83"/>
      <c r="J964" s="83"/>
    </row>
    <row r="965">
      <c r="A965" s="83"/>
      <c r="B965" s="83"/>
      <c r="C965" s="83"/>
      <c r="D965" s="83"/>
      <c r="F965" s="83"/>
      <c r="G965" s="83"/>
      <c r="H965" s="83"/>
      <c r="I965" s="83"/>
      <c r="J965" s="83"/>
    </row>
    <row r="966">
      <c r="A966" s="83"/>
      <c r="B966" s="83"/>
      <c r="C966" s="83"/>
      <c r="D966" s="83"/>
      <c r="F966" s="83"/>
      <c r="G966" s="83"/>
      <c r="H966" s="83"/>
      <c r="I966" s="83"/>
      <c r="J966" s="83"/>
    </row>
    <row r="967">
      <c r="A967" s="83"/>
      <c r="B967" s="83"/>
      <c r="C967" s="83"/>
      <c r="D967" s="83"/>
      <c r="F967" s="83"/>
      <c r="G967" s="83"/>
      <c r="H967" s="83"/>
      <c r="I967" s="83"/>
      <c r="J967" s="83"/>
    </row>
    <row r="968">
      <c r="A968" s="83"/>
      <c r="B968" s="83"/>
      <c r="C968" s="83"/>
      <c r="D968" s="83"/>
      <c r="F968" s="83"/>
      <c r="G968" s="83"/>
      <c r="H968" s="83"/>
      <c r="I968" s="83"/>
      <c r="J968" s="83"/>
    </row>
    <row r="969">
      <c r="A969" s="83"/>
      <c r="B969" s="83"/>
      <c r="C969" s="83"/>
      <c r="D969" s="83"/>
      <c r="F969" s="83"/>
      <c r="G969" s="83"/>
      <c r="H969" s="83"/>
      <c r="I969" s="83"/>
      <c r="J969" s="83"/>
    </row>
    <row r="970">
      <c r="A970" s="83"/>
      <c r="B970" s="83"/>
      <c r="C970" s="83"/>
      <c r="D970" s="83"/>
      <c r="F970" s="83"/>
      <c r="G970" s="83"/>
      <c r="H970" s="83"/>
      <c r="I970" s="83"/>
      <c r="J970" s="83"/>
    </row>
    <row r="971">
      <c r="A971" s="83"/>
      <c r="B971" s="83"/>
      <c r="C971" s="83"/>
      <c r="D971" s="83"/>
      <c r="F971" s="83"/>
      <c r="G971" s="83"/>
      <c r="H971" s="83"/>
      <c r="I971" s="83"/>
      <c r="J971" s="83"/>
    </row>
    <row r="972">
      <c r="A972" s="83"/>
      <c r="B972" s="83"/>
      <c r="C972" s="83"/>
      <c r="D972" s="83"/>
      <c r="F972" s="83"/>
      <c r="G972" s="83"/>
      <c r="H972" s="83"/>
      <c r="I972" s="83"/>
      <c r="J972" s="83"/>
    </row>
    <row r="973">
      <c r="A973" s="83"/>
      <c r="B973" s="83"/>
      <c r="C973" s="83"/>
      <c r="D973" s="83"/>
      <c r="F973" s="83"/>
      <c r="G973" s="83"/>
      <c r="H973" s="83"/>
      <c r="I973" s="83"/>
      <c r="J973" s="83"/>
    </row>
    <row r="974">
      <c r="A974" s="83"/>
      <c r="B974" s="83"/>
      <c r="C974" s="83"/>
      <c r="D974" s="83"/>
      <c r="F974" s="83"/>
      <c r="G974" s="83"/>
      <c r="H974" s="83"/>
      <c r="I974" s="83"/>
      <c r="J974" s="83"/>
    </row>
    <row r="975">
      <c r="A975" s="83"/>
      <c r="B975" s="83"/>
      <c r="C975" s="83"/>
      <c r="D975" s="83"/>
      <c r="F975" s="83"/>
      <c r="G975" s="83"/>
      <c r="H975" s="83"/>
      <c r="I975" s="83"/>
      <c r="J975" s="83"/>
    </row>
    <row r="976">
      <c r="A976" s="83"/>
      <c r="B976" s="83"/>
      <c r="C976" s="83"/>
      <c r="D976" s="83"/>
      <c r="F976" s="83"/>
      <c r="G976" s="83"/>
      <c r="H976" s="83"/>
      <c r="I976" s="83"/>
      <c r="J976" s="83"/>
    </row>
    <row r="977">
      <c r="A977" s="83"/>
      <c r="B977" s="83"/>
      <c r="C977" s="83"/>
      <c r="D977" s="83"/>
      <c r="F977" s="83"/>
      <c r="G977" s="83"/>
      <c r="H977" s="83"/>
      <c r="I977" s="83"/>
      <c r="J977" s="83"/>
    </row>
    <row r="978">
      <c r="A978" s="83"/>
      <c r="B978" s="83"/>
      <c r="C978" s="83"/>
      <c r="D978" s="83"/>
      <c r="F978" s="83"/>
      <c r="G978" s="83"/>
      <c r="H978" s="83"/>
      <c r="I978" s="83"/>
      <c r="J978" s="83"/>
    </row>
    <row r="979">
      <c r="A979" s="83"/>
      <c r="B979" s="83"/>
      <c r="C979" s="83"/>
      <c r="D979" s="83"/>
      <c r="F979" s="83"/>
      <c r="G979" s="83"/>
      <c r="H979" s="83"/>
      <c r="I979" s="83"/>
      <c r="J979" s="83"/>
    </row>
    <row r="980">
      <c r="A980" s="83"/>
      <c r="B980" s="83"/>
      <c r="C980" s="83"/>
      <c r="D980" s="83"/>
      <c r="F980" s="83"/>
      <c r="G980" s="83"/>
      <c r="H980" s="83"/>
      <c r="I980" s="83"/>
      <c r="J980" s="83"/>
    </row>
    <row r="981">
      <c r="A981" s="83"/>
      <c r="B981" s="83"/>
      <c r="C981" s="83"/>
      <c r="D981" s="83"/>
      <c r="F981" s="83"/>
      <c r="G981" s="83"/>
      <c r="H981" s="83"/>
      <c r="I981" s="83"/>
      <c r="J981" s="83"/>
    </row>
    <row r="982">
      <c r="A982" s="83"/>
      <c r="B982" s="83"/>
      <c r="C982" s="83"/>
      <c r="D982" s="83"/>
      <c r="F982" s="83"/>
      <c r="G982" s="83"/>
      <c r="H982" s="83"/>
      <c r="I982" s="83"/>
      <c r="J982" s="83"/>
    </row>
    <row r="983">
      <c r="A983" s="83"/>
      <c r="B983" s="83"/>
      <c r="C983" s="83"/>
      <c r="D983" s="83"/>
      <c r="F983" s="83"/>
      <c r="G983" s="83"/>
      <c r="H983" s="83"/>
      <c r="I983" s="83"/>
      <c r="J983" s="83"/>
    </row>
    <row r="984">
      <c r="A984" s="83"/>
      <c r="B984" s="83"/>
      <c r="C984" s="83"/>
      <c r="D984" s="83"/>
      <c r="F984" s="83"/>
      <c r="G984" s="83"/>
      <c r="H984" s="83"/>
      <c r="I984" s="83"/>
      <c r="J984" s="83"/>
    </row>
    <row r="985">
      <c r="A985" s="83"/>
      <c r="B985" s="83"/>
      <c r="C985" s="83"/>
      <c r="D985" s="83"/>
      <c r="F985" s="83"/>
      <c r="G985" s="83"/>
      <c r="H985" s="83"/>
      <c r="I985" s="83"/>
      <c r="J985" s="83"/>
    </row>
    <row r="986">
      <c r="A986" s="83"/>
      <c r="B986" s="83"/>
      <c r="C986" s="83"/>
      <c r="D986" s="83"/>
      <c r="F986" s="83"/>
      <c r="G986" s="83"/>
      <c r="H986" s="83"/>
      <c r="I986" s="83"/>
      <c r="J986" s="83"/>
    </row>
    <row r="987">
      <c r="A987" s="83"/>
      <c r="B987" s="83"/>
      <c r="C987" s="83"/>
      <c r="D987" s="83"/>
      <c r="F987" s="83"/>
      <c r="G987" s="83"/>
      <c r="H987" s="83"/>
      <c r="I987" s="83"/>
      <c r="J987" s="83"/>
    </row>
    <row r="988">
      <c r="A988" s="83"/>
      <c r="B988" s="83"/>
      <c r="C988" s="83"/>
      <c r="D988" s="83"/>
      <c r="F988" s="83"/>
      <c r="G988" s="83"/>
      <c r="H988" s="83"/>
      <c r="I988" s="83"/>
      <c r="J988" s="83"/>
    </row>
    <row r="989">
      <c r="A989" s="83"/>
      <c r="B989" s="83"/>
      <c r="C989" s="83"/>
      <c r="D989" s="83"/>
      <c r="F989" s="83"/>
      <c r="G989" s="83"/>
      <c r="H989" s="83"/>
      <c r="I989" s="83"/>
      <c r="J989" s="83"/>
    </row>
    <row r="990">
      <c r="A990" s="83"/>
      <c r="B990" s="83"/>
      <c r="C990" s="83"/>
      <c r="D990" s="83"/>
      <c r="F990" s="83"/>
      <c r="G990" s="83"/>
      <c r="H990" s="83"/>
      <c r="I990" s="83"/>
      <c r="J990" s="83"/>
    </row>
    <row r="991">
      <c r="A991" s="83"/>
      <c r="B991" s="83"/>
      <c r="C991" s="83"/>
      <c r="D991" s="83"/>
      <c r="F991" s="83"/>
      <c r="G991" s="83"/>
      <c r="H991" s="83"/>
      <c r="I991" s="83"/>
      <c r="J991" s="83"/>
    </row>
    <row r="992">
      <c r="A992" s="83"/>
      <c r="B992" s="83"/>
      <c r="C992" s="83"/>
      <c r="D992" s="83"/>
      <c r="F992" s="83"/>
      <c r="G992" s="83"/>
      <c r="H992" s="83"/>
      <c r="I992" s="83"/>
      <c r="J992" s="83"/>
    </row>
    <row r="993">
      <c r="A993" s="83"/>
      <c r="B993" s="83"/>
      <c r="C993" s="83"/>
      <c r="D993" s="83"/>
      <c r="F993" s="83"/>
      <c r="G993" s="83"/>
      <c r="H993" s="83"/>
      <c r="I993" s="83"/>
      <c r="J993" s="83"/>
    </row>
    <row r="994">
      <c r="A994" s="83"/>
      <c r="B994" s="83"/>
      <c r="C994" s="83"/>
      <c r="D994" s="83"/>
      <c r="F994" s="83"/>
      <c r="G994" s="83"/>
      <c r="H994" s="83"/>
      <c r="I994" s="83"/>
      <c r="J994" s="8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0"/>
    <col customWidth="1" min="3" max="3" width="9.86"/>
  </cols>
  <sheetData>
    <row r="2">
      <c r="A2" s="4" t="s">
        <v>683</v>
      </c>
      <c r="B2" s="6"/>
      <c r="C2" s="6"/>
      <c r="D2" s="6"/>
      <c r="E2" s="6"/>
    </row>
    <row r="3">
      <c r="A3" s="2" t="s">
        <v>684</v>
      </c>
    </row>
    <row r="4">
      <c r="A4" s="2" t="s">
        <v>685</v>
      </c>
    </row>
    <row r="5">
      <c r="A5" s="1" t="s">
        <v>687</v>
      </c>
    </row>
    <row r="6">
      <c r="A6" s="2" t="s">
        <v>688</v>
      </c>
    </row>
    <row r="7">
      <c r="A7" s="1" t="s">
        <v>689</v>
      </c>
    </row>
    <row r="8">
      <c r="A8" s="2" t="s">
        <v>690</v>
      </c>
      <c r="C8" s="2" t="s">
        <v>691</v>
      </c>
    </row>
    <row r="9">
      <c r="A9" s="1" t="s">
        <v>692</v>
      </c>
      <c r="D9" s="227">
        <f>'Colony growth'!H27+'Colony growth'!H43</f>
        <v>37.90654206</v>
      </c>
    </row>
    <row r="10">
      <c r="A10" s="2" t="s">
        <v>699</v>
      </c>
      <c r="C10" s="2" t="s">
        <v>26</v>
      </c>
      <c r="D10" s="15">
        <f>(BFS!D10+BFS!D7)*D9</f>
        <v>9385.073818</v>
      </c>
      <c r="E10" s="2" t="s">
        <v>702</v>
      </c>
    </row>
    <row r="11">
      <c r="A11" s="2" t="s">
        <v>704</v>
      </c>
      <c r="D11" s="228">
        <v>0.2</v>
      </c>
      <c r="E11" s="2" t="s">
        <v>709</v>
      </c>
    </row>
    <row r="12">
      <c r="A12" s="2" t="s">
        <v>711</v>
      </c>
      <c r="C12" s="2" t="s">
        <v>26</v>
      </c>
      <c r="D12" s="15">
        <f>D10*D11+D10</f>
        <v>11262.08858</v>
      </c>
    </row>
    <row r="13">
      <c r="A13" s="2" t="s">
        <v>717</v>
      </c>
      <c r="C13" s="2" t="s">
        <v>26</v>
      </c>
      <c r="D13" s="123">
        <f>D12*D17/D15*2</f>
        <v>25339.69931</v>
      </c>
    </row>
    <row r="14">
      <c r="A14" s="2" t="s">
        <v>718</v>
      </c>
      <c r="D14" s="14">
        <f>12+32</f>
        <v>44</v>
      </c>
    </row>
    <row r="15">
      <c r="A15" s="2" t="s">
        <v>721</v>
      </c>
      <c r="D15" s="14">
        <v>16.0</v>
      </c>
    </row>
    <row r="16">
      <c r="A16" s="2" t="s">
        <v>723</v>
      </c>
      <c r="D16" s="14">
        <v>2.0</v>
      </c>
    </row>
    <row r="17">
      <c r="A17" s="2" t="s">
        <v>724</v>
      </c>
      <c r="C17" s="2"/>
      <c r="D17" s="123">
        <v>18.0</v>
      </c>
      <c r="G17" s="2" t="s">
        <v>725</v>
      </c>
    </row>
    <row r="18">
      <c r="A18" s="2" t="s">
        <v>726</v>
      </c>
      <c r="C18" s="2" t="s">
        <v>26</v>
      </c>
      <c r="D18" s="15">
        <f>D12*D16/D15*4</f>
        <v>5631.044291</v>
      </c>
    </row>
    <row r="19">
      <c r="A19" s="2" t="s">
        <v>728</v>
      </c>
      <c r="C19" s="2" t="s">
        <v>26</v>
      </c>
      <c r="D19" s="15">
        <f>D18/2*D17</f>
        <v>50679.39862</v>
      </c>
    </row>
    <row r="20">
      <c r="A20" s="2" t="s">
        <v>731</v>
      </c>
      <c r="C20" s="2" t="s">
        <v>26</v>
      </c>
      <c r="D20" s="15">
        <f>D19-D13</f>
        <v>25339.69931</v>
      </c>
      <c r="E20" s="2" t="s">
        <v>732</v>
      </c>
    </row>
    <row r="21">
      <c r="A21" s="2" t="s">
        <v>733</v>
      </c>
    </row>
    <row r="23">
      <c r="A23" s="2" t="s">
        <v>734</v>
      </c>
      <c r="C23" s="2" t="s">
        <v>26</v>
      </c>
      <c r="D23" s="15">
        <f>D12*D14/D15</f>
        <v>30970.7436</v>
      </c>
    </row>
    <row r="24">
      <c r="A24" s="2" t="s">
        <v>735</v>
      </c>
      <c r="C24" s="2" t="s">
        <v>26</v>
      </c>
      <c r="D24" s="15">
        <f>D23+D19</f>
        <v>81650.14222</v>
      </c>
      <c r="E24" s="2" t="s">
        <v>738</v>
      </c>
    </row>
    <row r="25">
      <c r="A25" s="2" t="s">
        <v>739</v>
      </c>
      <c r="C25" s="2" t="s">
        <v>26</v>
      </c>
      <c r="D25" s="15">
        <f>D24-D13-D12</f>
        <v>45048.35433</v>
      </c>
      <c r="E25" s="2" t="s">
        <v>741</v>
      </c>
    </row>
    <row r="28">
      <c r="A28" s="2" t="s">
        <v>742</v>
      </c>
      <c r="C28" s="2" t="s">
        <v>512</v>
      </c>
      <c r="D28" s="2">
        <v>180.0</v>
      </c>
      <c r="E28" s="11" t="s">
        <v>744</v>
      </c>
    </row>
    <row r="29">
      <c r="A29" s="2" t="s">
        <v>745</v>
      </c>
      <c r="C29" s="2"/>
      <c r="D29" s="10">
        <v>0.8</v>
      </c>
    </row>
    <row r="30">
      <c r="A30" s="1" t="s">
        <v>746</v>
      </c>
      <c r="B30" s="28"/>
      <c r="C30" s="1" t="s">
        <v>178</v>
      </c>
      <c r="D30" s="41">
        <f>(D28*D18)</f>
        <v>1013587.972</v>
      </c>
    </row>
    <row r="31">
      <c r="A31" s="1" t="s">
        <v>462</v>
      </c>
      <c r="C31" s="2" t="s">
        <v>554</v>
      </c>
      <c r="D31" s="27">
        <f>D30/3600/24/D40*1000</f>
        <v>16.07033188</v>
      </c>
    </row>
    <row r="32">
      <c r="A32" s="4" t="s">
        <v>750</v>
      </c>
      <c r="B32" s="6"/>
      <c r="C32" s="6"/>
      <c r="D32" s="6"/>
      <c r="E32" s="6"/>
    </row>
    <row r="33">
      <c r="A33" s="2" t="s">
        <v>751</v>
      </c>
      <c r="C33" s="2" t="s">
        <v>512</v>
      </c>
      <c r="D33" s="2">
        <v>55.7</v>
      </c>
    </row>
    <row r="34">
      <c r="A34" s="2" t="s">
        <v>753</v>
      </c>
      <c r="C34" s="2" t="s">
        <v>754</v>
      </c>
      <c r="D34" s="2">
        <v>167.0</v>
      </c>
      <c r="E34" s="2" t="s">
        <v>302</v>
      </c>
      <c r="G34" s="2"/>
      <c r="I34" s="2"/>
    </row>
    <row r="35">
      <c r="C35" s="2" t="s">
        <v>273</v>
      </c>
      <c r="D35" s="15">
        <f>1000/M42*D34</f>
        <v>3795.454545</v>
      </c>
      <c r="G35" s="2"/>
      <c r="I35" s="2"/>
    </row>
    <row r="36">
      <c r="A36" s="2" t="s">
        <v>756</v>
      </c>
      <c r="C36" s="2" t="s">
        <v>178</v>
      </c>
      <c r="D36" s="15">
        <f>D35*D12*1000/1000000</f>
        <v>42744.7453</v>
      </c>
    </row>
    <row r="37">
      <c r="A37" s="2" t="s">
        <v>758</v>
      </c>
      <c r="C37" s="2" t="s">
        <v>178</v>
      </c>
      <c r="D37" s="15">
        <f>D30*(1-D29)</f>
        <v>202717.5945</v>
      </c>
      <c r="G37" s="2"/>
      <c r="I37" s="2"/>
    </row>
    <row r="38">
      <c r="A38" s="1" t="s">
        <v>759</v>
      </c>
      <c r="B38" s="28"/>
      <c r="C38" s="1" t="s">
        <v>178</v>
      </c>
      <c r="D38" s="41">
        <f>D37+D36</f>
        <v>245462.3398</v>
      </c>
      <c r="G38" s="2"/>
      <c r="I38" s="2"/>
    </row>
    <row r="39">
      <c r="A39" s="4" t="s">
        <v>762</v>
      </c>
      <c r="B39" s="6"/>
      <c r="C39" s="6"/>
      <c r="D39" s="6"/>
      <c r="E39" s="6"/>
      <c r="G39" s="74" t="s">
        <v>763</v>
      </c>
      <c r="H39" s="230"/>
      <c r="I39" s="231" t="s">
        <v>766</v>
      </c>
      <c r="J39" s="230"/>
      <c r="K39" s="230"/>
      <c r="L39" s="230"/>
      <c r="M39" s="232"/>
    </row>
    <row r="40">
      <c r="A40" s="2" t="s">
        <v>296</v>
      </c>
      <c r="B40" s="2" t="s">
        <v>32</v>
      </c>
      <c r="C40" s="2" t="s">
        <v>187</v>
      </c>
      <c r="D40" s="16">
        <f>Colony!D45</f>
        <v>730</v>
      </c>
      <c r="E40" s="2" t="s">
        <v>767</v>
      </c>
      <c r="G40" s="87"/>
      <c r="I40" s="2" t="s">
        <v>768</v>
      </c>
      <c r="J40" s="2" t="s">
        <v>769</v>
      </c>
      <c r="K40" s="2" t="s">
        <v>770</v>
      </c>
      <c r="L40" s="2" t="s">
        <v>212</v>
      </c>
      <c r="M40" s="233"/>
    </row>
    <row r="41">
      <c r="A41" s="2" t="s">
        <v>217</v>
      </c>
      <c r="B41" s="2" t="s">
        <v>44</v>
      </c>
      <c r="D41" s="10">
        <v>0.2</v>
      </c>
      <c r="G41" s="234"/>
      <c r="H41" s="26"/>
      <c r="I41" s="26"/>
      <c r="J41" s="25" t="s">
        <v>320</v>
      </c>
      <c r="K41" s="235" t="s">
        <v>771</v>
      </c>
      <c r="L41" s="25" t="s">
        <v>772</v>
      </c>
      <c r="M41" s="236" t="s">
        <v>773</v>
      </c>
    </row>
    <row r="42">
      <c r="A42" s="2" t="s">
        <v>774</v>
      </c>
      <c r="B42" s="2" t="s">
        <v>29</v>
      </c>
      <c r="C42" s="2" t="s">
        <v>775</v>
      </c>
      <c r="D42" s="237">
        <f>(D23)*1000/D40/24/3600*(1+D41)</f>
        <v>0.5892455023</v>
      </c>
      <c r="E42" s="2" t="s">
        <v>776</v>
      </c>
      <c r="G42" s="91" t="s">
        <v>743</v>
      </c>
      <c r="H42" s="238">
        <v>0.953</v>
      </c>
      <c r="I42" s="2">
        <v>194.0</v>
      </c>
      <c r="J42" s="2">
        <v>0.87</v>
      </c>
      <c r="K42" s="239">
        <v>43103.0</v>
      </c>
      <c r="L42" s="2">
        <v>188.92</v>
      </c>
      <c r="M42" s="240">
        <v>44.0</v>
      </c>
    </row>
    <row r="43">
      <c r="A43" s="2" t="s">
        <v>777</v>
      </c>
      <c r="B43" s="2" t="s">
        <v>778</v>
      </c>
      <c r="C43" s="2" t="s">
        <v>84</v>
      </c>
      <c r="D43" s="2">
        <v>0.02</v>
      </c>
      <c r="G43" s="91" t="s">
        <v>779</v>
      </c>
      <c r="H43" s="238">
        <v>0.027</v>
      </c>
      <c r="I43" s="2">
        <f>273-195.8</f>
        <v>77.2</v>
      </c>
      <c r="M43" s="233"/>
    </row>
    <row r="44">
      <c r="A44" s="2" t="s">
        <v>780</v>
      </c>
      <c r="B44" s="2" t="s">
        <v>781</v>
      </c>
      <c r="C44" s="2" t="s">
        <v>84</v>
      </c>
      <c r="D44" s="2">
        <v>1.0</v>
      </c>
      <c r="G44" s="91" t="s">
        <v>409</v>
      </c>
      <c r="H44" s="238">
        <v>0.0013</v>
      </c>
      <c r="I44" s="2">
        <f>273-183</f>
        <v>90</v>
      </c>
      <c r="M44" s="233"/>
    </row>
    <row r="45">
      <c r="A45" s="2" t="s">
        <v>782</v>
      </c>
      <c r="B45" s="2" t="s">
        <v>783</v>
      </c>
      <c r="D45" s="16">
        <f>D44/D43</f>
        <v>50</v>
      </c>
      <c r="G45" s="91" t="s">
        <v>784</v>
      </c>
      <c r="H45" s="238">
        <v>0.016</v>
      </c>
      <c r="I45">
        <f>273-195.8</f>
        <v>77.2</v>
      </c>
      <c r="M45" s="233"/>
    </row>
    <row r="46">
      <c r="A46" s="2" t="s">
        <v>785</v>
      </c>
      <c r="D46" s="2">
        <v>1.3</v>
      </c>
      <c r="G46" s="91" t="s">
        <v>786</v>
      </c>
      <c r="H46" s="193">
        <f>200/1000000</f>
        <v>0.0002</v>
      </c>
      <c r="M46" s="233"/>
    </row>
    <row r="47">
      <c r="A47" s="2" t="s">
        <v>787</v>
      </c>
      <c r="B47" s="2" t="s">
        <v>656</v>
      </c>
      <c r="C47" s="2" t="s">
        <v>334</v>
      </c>
      <c r="D47" s="2">
        <v>210.0</v>
      </c>
      <c r="G47" s="87"/>
      <c r="H47" s="229">
        <f>SUM(H42:H46)</f>
        <v>0.9975</v>
      </c>
      <c r="M47" s="233"/>
    </row>
    <row r="48">
      <c r="A48" s="2" t="s">
        <v>788</v>
      </c>
      <c r="B48" s="2" t="s">
        <v>212</v>
      </c>
      <c r="C48" s="2" t="s">
        <v>283</v>
      </c>
      <c r="D48" s="2">
        <v>188.92</v>
      </c>
      <c r="G48" s="91"/>
      <c r="M48" s="233"/>
    </row>
    <row r="49">
      <c r="A49" s="2" t="s">
        <v>789</v>
      </c>
      <c r="C49" s="2" t="s">
        <v>775</v>
      </c>
      <c r="D49" s="241">
        <f>D42</f>
        <v>0.5892455023</v>
      </c>
      <c r="G49" s="242" t="s">
        <v>740</v>
      </c>
      <c r="H49" s="26"/>
      <c r="I49" s="26">
        <f>273-161.5</f>
        <v>111.5</v>
      </c>
      <c r="J49" s="26"/>
      <c r="K49" s="26"/>
      <c r="L49" s="26"/>
      <c r="M49" s="243"/>
    </row>
    <row r="50">
      <c r="A50" s="2" t="s">
        <v>792</v>
      </c>
      <c r="B50" s="2"/>
      <c r="C50" s="2"/>
      <c r="D50" s="71">
        <v>0.7</v>
      </c>
      <c r="E50" s="2" t="s">
        <v>793</v>
      </c>
    </row>
    <row r="51">
      <c r="A51" s="2" t="s">
        <v>794</v>
      </c>
      <c r="B51" s="2" t="s">
        <v>795</v>
      </c>
      <c r="C51" s="2" t="s">
        <v>93</v>
      </c>
      <c r="D51" s="15">
        <f>((D46*D48*D47)/(D46-1))*(D45^((D46-1)/D46)-1)/D50*D49</f>
        <v>212217.3719</v>
      </c>
      <c r="E51" s="2" t="s">
        <v>801</v>
      </c>
      <c r="G51" s="2" t="s">
        <v>802</v>
      </c>
      <c r="I51" s="2">
        <v>210.0</v>
      </c>
    </row>
    <row r="52">
      <c r="C52" s="2" t="s">
        <v>99</v>
      </c>
      <c r="D52" s="15">
        <f>D51/1000</f>
        <v>212.2173719</v>
      </c>
    </row>
    <row r="53">
      <c r="C53" s="2" t="s">
        <v>104</v>
      </c>
      <c r="D53" s="15">
        <f>D52*0.746</f>
        <v>158.3141594</v>
      </c>
    </row>
    <row r="54">
      <c r="A54" s="2" t="s">
        <v>808</v>
      </c>
      <c r="B54" s="2" t="s">
        <v>657</v>
      </c>
      <c r="C54" s="2" t="s">
        <v>334</v>
      </c>
      <c r="D54" s="15">
        <f>D47*(1+((D45^((D46-1)/D46)-1)/D50))</f>
        <v>649.9310561</v>
      </c>
    </row>
    <row r="55">
      <c r="C55" s="2" t="s">
        <v>161</v>
      </c>
      <c r="D55" s="15">
        <f>D54-273</f>
        <v>376.9310561</v>
      </c>
    </row>
    <row r="56">
      <c r="A56" s="2" t="s">
        <v>810</v>
      </c>
      <c r="B56" s="2" t="s">
        <v>811</v>
      </c>
      <c r="C56" s="2" t="s">
        <v>334</v>
      </c>
      <c r="D56" s="15">
        <f>D54-D47</f>
        <v>439.9310561</v>
      </c>
    </row>
    <row r="57">
      <c r="B57" s="2" t="s">
        <v>812</v>
      </c>
      <c r="C57" s="2" t="s">
        <v>93</v>
      </c>
      <c r="D57" s="15">
        <f>D56*J42*D49*1000*D50</f>
        <v>157869.4842</v>
      </c>
      <c r="E57" s="2" t="s">
        <v>813</v>
      </c>
    </row>
    <row r="58">
      <c r="A58" s="2" t="s">
        <v>814</v>
      </c>
      <c r="C58" s="2" t="s">
        <v>178</v>
      </c>
      <c r="D58" s="41">
        <f>D51*D40*24*3600/1000000000</f>
        <v>13384.97408</v>
      </c>
    </row>
    <row r="59">
      <c r="A59" s="2" t="s">
        <v>817</v>
      </c>
      <c r="C59" s="2" t="s">
        <v>178</v>
      </c>
      <c r="D59" s="15">
        <f>D57*D40*24*3600/1000000000</f>
        <v>9957.144109</v>
      </c>
      <c r="E59" s="2" t="s">
        <v>818</v>
      </c>
    </row>
    <row r="61">
      <c r="A61" s="4" t="s">
        <v>819</v>
      </c>
      <c r="B61" s="6"/>
      <c r="C61" s="6"/>
      <c r="D61" s="6"/>
      <c r="E61" s="6"/>
    </row>
    <row r="62">
      <c r="A62" s="2" t="s">
        <v>820</v>
      </c>
      <c r="C62" s="2" t="s">
        <v>775</v>
      </c>
      <c r="D62" s="237">
        <f>D49</f>
        <v>0.5892455023</v>
      </c>
    </row>
    <row r="63">
      <c r="A63" s="2" t="s">
        <v>821</v>
      </c>
      <c r="B63" s="2" t="s">
        <v>656</v>
      </c>
      <c r="C63" s="2" t="s">
        <v>334</v>
      </c>
      <c r="D63" s="16">
        <f>D47</f>
        <v>210</v>
      </c>
    </row>
    <row r="64">
      <c r="A64" s="2" t="s">
        <v>822</v>
      </c>
      <c r="B64" s="2" t="s">
        <v>823</v>
      </c>
      <c r="C64" s="2" t="s">
        <v>334</v>
      </c>
      <c r="D64" s="2">
        <v>70.0</v>
      </c>
      <c r="E64" s="2" t="s">
        <v>824</v>
      </c>
    </row>
    <row r="65">
      <c r="A65" s="2" t="s">
        <v>825</v>
      </c>
      <c r="B65" s="2" t="s">
        <v>281</v>
      </c>
      <c r="C65" s="2" t="s">
        <v>283</v>
      </c>
      <c r="D65" s="2">
        <v>2.0</v>
      </c>
    </row>
    <row r="66">
      <c r="A66" s="2" t="s">
        <v>826</v>
      </c>
      <c r="C66" s="2" t="s">
        <v>827</v>
      </c>
      <c r="D66" s="2">
        <v>500.0</v>
      </c>
      <c r="E66" s="2" t="s">
        <v>828</v>
      </c>
    </row>
    <row r="67">
      <c r="A67" s="2" t="s">
        <v>829</v>
      </c>
    </row>
    <row r="68">
      <c r="A68" s="2" t="s">
        <v>830</v>
      </c>
      <c r="B68" s="2" t="s">
        <v>831</v>
      </c>
      <c r="C68" s="2" t="s">
        <v>832</v>
      </c>
      <c r="D68" s="23">
        <f>D65*D62*(D63-D64)</f>
        <v>164.9887406</v>
      </c>
    </row>
    <row r="69">
      <c r="A69" s="2" t="s">
        <v>833</v>
      </c>
      <c r="B69" s="2" t="s">
        <v>834</v>
      </c>
      <c r="C69" s="2" t="s">
        <v>832</v>
      </c>
      <c r="D69" s="23">
        <f>D66*D62</f>
        <v>294.6227511</v>
      </c>
    </row>
    <row r="70">
      <c r="B70" s="2" t="s">
        <v>835</v>
      </c>
      <c r="C70" s="2" t="s">
        <v>832</v>
      </c>
      <c r="D70" s="23">
        <f>D69+D68</f>
        <v>459.6114918</v>
      </c>
    </row>
    <row r="71">
      <c r="A71" s="2" t="s">
        <v>836</v>
      </c>
      <c r="D71" s="16">
        <f>D64/(D63-D64)</f>
        <v>0.5</v>
      </c>
    </row>
    <row r="72">
      <c r="A72" s="2" t="s">
        <v>837</v>
      </c>
      <c r="B72" s="2"/>
      <c r="C72" s="2"/>
      <c r="D72" s="71">
        <v>0.4</v>
      </c>
      <c r="E72" s="2" t="s">
        <v>838</v>
      </c>
    </row>
    <row r="73">
      <c r="A73" s="2" t="s">
        <v>839</v>
      </c>
      <c r="B73" s="2" t="s">
        <v>840</v>
      </c>
      <c r="C73" s="2" t="s">
        <v>99</v>
      </c>
      <c r="D73" s="15">
        <f>D70/D71/D72</f>
        <v>2298.057459</v>
      </c>
    </row>
    <row r="74">
      <c r="C74" s="2" t="s">
        <v>104</v>
      </c>
      <c r="D74" s="15">
        <f>D73*0.746</f>
        <v>1714.350864</v>
      </c>
    </row>
    <row r="75">
      <c r="A75" s="2" t="s">
        <v>841</v>
      </c>
      <c r="C75" s="2" t="s">
        <v>178</v>
      </c>
      <c r="D75" s="41">
        <f>D40*D73*24*3600/1000000</f>
        <v>144943.08</v>
      </c>
    </row>
    <row r="76">
      <c r="A76" s="2" t="s">
        <v>842</v>
      </c>
      <c r="C76" s="2" t="s">
        <v>178</v>
      </c>
      <c r="D76" s="15">
        <f>D40*(D73+D70)*24*3600/1000000</f>
        <v>173931.6961</v>
      </c>
    </row>
    <row r="80">
      <c r="A80" s="245" t="s">
        <v>843</v>
      </c>
      <c r="B80" s="246"/>
      <c r="C80" s="247" t="s">
        <v>178</v>
      </c>
      <c r="D80" s="248">
        <f>D75+D58+D30</f>
        <v>1171916.026</v>
      </c>
    </row>
    <row r="81">
      <c r="C81" s="2" t="s">
        <v>533</v>
      </c>
      <c r="D81" s="27">
        <f>D80/D10</f>
        <v>124.8701981</v>
      </c>
    </row>
    <row r="82">
      <c r="C82" s="2" t="s">
        <v>554</v>
      </c>
      <c r="D82" s="27">
        <f>D80/3600/24/D40*1000</f>
        <v>18.58060671</v>
      </c>
    </row>
    <row r="83">
      <c r="A83" s="2" t="s">
        <v>759</v>
      </c>
      <c r="C83" s="2" t="s">
        <v>178</v>
      </c>
      <c r="D83" s="15">
        <f>D76+D59+D38</f>
        <v>429351.1799</v>
      </c>
    </row>
    <row r="84">
      <c r="A84" s="2" t="s">
        <v>844</v>
      </c>
      <c r="D84" s="249">
        <f>(D80-D83)/D80</f>
        <v>0.6336331527</v>
      </c>
    </row>
    <row r="86">
      <c r="A86" s="25" t="s">
        <v>845</v>
      </c>
      <c r="B86" s="26"/>
      <c r="C86" s="25" t="s">
        <v>846</v>
      </c>
      <c r="D86" s="25">
        <v>10.0</v>
      </c>
    </row>
    <row r="87">
      <c r="A87" s="1" t="s">
        <v>845</v>
      </c>
      <c r="B87" s="28"/>
      <c r="C87" s="1" t="s">
        <v>26</v>
      </c>
      <c r="D87" s="250">
        <f>D86*D9</f>
        <v>379.0654206</v>
      </c>
    </row>
    <row r="89">
      <c r="C89" s="2" t="s">
        <v>847</v>
      </c>
      <c r="D89" s="13">
        <f>D81/1000*1000000</f>
        <v>124870.1981</v>
      </c>
    </row>
  </sheetData>
  <hyperlinks>
    <hyperlink r:id="rId1" location="Industrial_output" ref="E28"/>
    <hyperlink r:id="rId2" ref="I39"/>
  </hyperlin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0"/>
    <col customWidth="1" min="4" max="4" width="3.71"/>
  </cols>
  <sheetData>
    <row r="1">
      <c r="A1" s="226" t="s">
        <v>679</v>
      </c>
      <c r="B1" s="2"/>
      <c r="C1" s="2"/>
      <c r="D1" s="2"/>
      <c r="E1" s="2"/>
    </row>
    <row r="2">
      <c r="A2" s="1" t="s">
        <v>680</v>
      </c>
      <c r="B2" s="2" t="s">
        <v>566</v>
      </c>
      <c r="C2" s="2" t="s">
        <v>16</v>
      </c>
      <c r="D2" s="2"/>
      <c r="E2" s="2" t="s">
        <v>681</v>
      </c>
    </row>
    <row r="3">
      <c r="A3" s="2" t="s">
        <v>682</v>
      </c>
      <c r="D3" s="2" t="s">
        <v>32</v>
      </c>
      <c r="E3" s="13">
        <f>Colony!E192</f>
        <v>2730.679435</v>
      </c>
    </row>
    <row r="4">
      <c r="A4" s="2" t="s">
        <v>686</v>
      </c>
      <c r="B4" s="2">
        <v>30.0</v>
      </c>
      <c r="C4" s="2">
        <v>2.0</v>
      </c>
      <c r="D4" s="2" t="s">
        <v>32</v>
      </c>
      <c r="E4">
        <f t="shared" ref="E4:E5" si="1">C4*B4</f>
        <v>60</v>
      </c>
    </row>
    <row r="5">
      <c r="A5" s="2" t="s">
        <v>693</v>
      </c>
      <c r="B5" s="2">
        <v>30.0</v>
      </c>
      <c r="C5" s="2">
        <v>8.0</v>
      </c>
      <c r="D5" s="2" t="s">
        <v>32</v>
      </c>
      <c r="E5">
        <f t="shared" si="1"/>
        <v>240</v>
      </c>
    </row>
    <row r="6">
      <c r="A6" s="2" t="s">
        <v>694</v>
      </c>
      <c r="D6" s="2" t="s">
        <v>32</v>
      </c>
      <c r="E6" s="13">
        <f>Structural!D20</f>
        <v>1016.677031</v>
      </c>
    </row>
    <row r="7">
      <c r="A7" s="2" t="s">
        <v>695</v>
      </c>
      <c r="D7" s="2" t="s">
        <v>32</v>
      </c>
      <c r="E7" s="13">
        <f>Colony!D239</f>
        <v>1275.83</v>
      </c>
    </row>
    <row r="8">
      <c r="A8" s="2" t="s">
        <v>696</v>
      </c>
      <c r="D8" s="2" t="s">
        <v>32</v>
      </c>
      <c r="E8" s="13">
        <f>Structural!D73</f>
        <v>293.4409</v>
      </c>
    </row>
    <row r="9">
      <c r="A9" s="2" t="s">
        <v>697</v>
      </c>
      <c r="D9" s="2" t="s">
        <v>32</v>
      </c>
      <c r="E9" s="13">
        <f>Colony!D158/1000</f>
        <v>993.484375</v>
      </c>
    </row>
    <row r="10">
      <c r="A10" s="2" t="s">
        <v>698</v>
      </c>
      <c r="B10" s="2">
        <v>2.0</v>
      </c>
      <c r="C10" s="2">
        <v>150.0</v>
      </c>
      <c r="D10" s="2" t="s">
        <v>32</v>
      </c>
      <c r="E10">
        <f t="shared" ref="E10:E22" si="2">C10*B10</f>
        <v>300</v>
      </c>
    </row>
    <row r="11">
      <c r="A11" s="2" t="s">
        <v>700</v>
      </c>
      <c r="B11" s="2">
        <v>7.0</v>
      </c>
      <c r="C11" s="2">
        <v>15.0</v>
      </c>
      <c r="D11" s="2" t="s">
        <v>32</v>
      </c>
      <c r="E11">
        <f t="shared" si="2"/>
        <v>105</v>
      </c>
    </row>
    <row r="12">
      <c r="A12" s="2" t="s">
        <v>701</v>
      </c>
      <c r="B12" s="2">
        <v>2.0</v>
      </c>
      <c r="C12" s="2">
        <v>20.0</v>
      </c>
      <c r="D12" s="2" t="s">
        <v>32</v>
      </c>
      <c r="E12">
        <f t="shared" si="2"/>
        <v>40</v>
      </c>
    </row>
    <row r="13">
      <c r="A13" s="2" t="s">
        <v>703</v>
      </c>
      <c r="B13" s="2">
        <v>2.0</v>
      </c>
      <c r="C13" s="2">
        <v>40.0</v>
      </c>
      <c r="D13" s="2" t="s">
        <v>32</v>
      </c>
      <c r="E13">
        <f t="shared" si="2"/>
        <v>80</v>
      </c>
    </row>
    <row r="14">
      <c r="A14" s="2" t="s">
        <v>705</v>
      </c>
      <c r="B14" s="2">
        <v>4.0</v>
      </c>
      <c r="C14" s="2">
        <v>10.0</v>
      </c>
      <c r="D14" s="2" t="s">
        <v>32</v>
      </c>
      <c r="E14">
        <f t="shared" si="2"/>
        <v>40</v>
      </c>
    </row>
    <row r="15">
      <c r="A15" s="2" t="s">
        <v>706</v>
      </c>
      <c r="B15" s="2">
        <v>2.0</v>
      </c>
      <c r="C15" s="2">
        <v>15.0</v>
      </c>
      <c r="D15" s="2" t="s">
        <v>32</v>
      </c>
      <c r="E15">
        <f t="shared" si="2"/>
        <v>30</v>
      </c>
    </row>
    <row r="16">
      <c r="A16" s="2" t="s">
        <v>707</v>
      </c>
      <c r="B16" s="2">
        <v>4.0</v>
      </c>
      <c r="C16" s="2">
        <v>5.0</v>
      </c>
      <c r="D16" s="2" t="s">
        <v>32</v>
      </c>
      <c r="E16">
        <f t="shared" si="2"/>
        <v>20</v>
      </c>
    </row>
    <row r="17">
      <c r="A17" s="2" t="s">
        <v>708</v>
      </c>
      <c r="B17" s="2">
        <v>2.0</v>
      </c>
      <c r="C17" s="2">
        <v>10.0</v>
      </c>
      <c r="D17" s="2" t="s">
        <v>32</v>
      </c>
      <c r="E17">
        <f t="shared" si="2"/>
        <v>20</v>
      </c>
    </row>
    <row r="18">
      <c r="A18" s="2" t="s">
        <v>710</v>
      </c>
      <c r="B18" s="2">
        <v>2.0</v>
      </c>
      <c r="C18" s="2">
        <v>20.0</v>
      </c>
      <c r="D18" s="2" t="s">
        <v>32</v>
      </c>
      <c r="E18">
        <f t="shared" si="2"/>
        <v>40</v>
      </c>
    </row>
    <row r="19">
      <c r="A19" s="2" t="s">
        <v>712</v>
      </c>
      <c r="B19" s="2">
        <v>2.0</v>
      </c>
      <c r="C19" s="2">
        <v>30.0</v>
      </c>
      <c r="D19" s="2" t="s">
        <v>32</v>
      </c>
      <c r="E19">
        <f t="shared" si="2"/>
        <v>60</v>
      </c>
    </row>
    <row r="20">
      <c r="A20" s="2" t="s">
        <v>713</v>
      </c>
      <c r="B20" s="2">
        <v>1.0</v>
      </c>
      <c r="C20" s="2">
        <v>100.0</v>
      </c>
      <c r="D20" s="2" t="s">
        <v>32</v>
      </c>
      <c r="E20">
        <f t="shared" si="2"/>
        <v>100</v>
      </c>
    </row>
    <row r="21">
      <c r="A21" s="2" t="s">
        <v>714</v>
      </c>
      <c r="B21" s="2">
        <v>2.0</v>
      </c>
      <c r="C21" s="2">
        <v>30.0</v>
      </c>
      <c r="D21" s="2" t="s">
        <v>32</v>
      </c>
      <c r="E21">
        <f t="shared" si="2"/>
        <v>60</v>
      </c>
    </row>
    <row r="22">
      <c r="A22" s="2" t="s">
        <v>715</v>
      </c>
      <c r="B22" s="2">
        <v>4.0</v>
      </c>
      <c r="C22" s="2">
        <v>8.0</v>
      </c>
      <c r="D22" s="2" t="s">
        <v>32</v>
      </c>
      <c r="E22">
        <f t="shared" si="2"/>
        <v>32</v>
      </c>
    </row>
    <row r="23">
      <c r="A23" s="2" t="s">
        <v>716</v>
      </c>
      <c r="B23">
        <f>300000/2</f>
        <v>150000</v>
      </c>
      <c r="C23" s="2">
        <v>0.6</v>
      </c>
      <c r="D23" s="2" t="s">
        <v>142</v>
      </c>
      <c r="E23">
        <f t="shared" ref="E23:E26" si="3">C23*B23/1000</f>
        <v>90</v>
      </c>
    </row>
    <row r="24">
      <c r="A24" s="2" t="s">
        <v>719</v>
      </c>
      <c r="B24" s="2">
        <v>1000.0</v>
      </c>
      <c r="C24" s="2">
        <v>150.0</v>
      </c>
      <c r="D24" s="2" t="s">
        <v>142</v>
      </c>
      <c r="E24">
        <f t="shared" si="3"/>
        <v>150</v>
      </c>
    </row>
    <row r="25">
      <c r="A25" s="2" t="s">
        <v>720</v>
      </c>
      <c r="B25" s="2">
        <v>1000.0</v>
      </c>
      <c r="C25" s="2">
        <v>10.0</v>
      </c>
      <c r="D25" s="2" t="s">
        <v>142</v>
      </c>
      <c r="E25">
        <f t="shared" si="3"/>
        <v>10</v>
      </c>
    </row>
    <row r="26">
      <c r="A26" s="2" t="s">
        <v>722</v>
      </c>
      <c r="B26" s="2">
        <v>1.0</v>
      </c>
      <c r="C26" s="2">
        <v>10000.0</v>
      </c>
      <c r="D26" s="2" t="s">
        <v>142</v>
      </c>
      <c r="E26">
        <f t="shared" si="3"/>
        <v>10</v>
      </c>
    </row>
    <row r="27">
      <c r="A27" s="26"/>
      <c r="B27" s="26"/>
      <c r="C27" s="26"/>
      <c r="D27" s="26"/>
      <c r="E27" s="26"/>
    </row>
    <row r="28">
      <c r="A28" s="2" t="s">
        <v>727</v>
      </c>
      <c r="E28" s="42">
        <f>SUM(E3:E27)</f>
        <v>7797.111741</v>
      </c>
    </row>
    <row r="31">
      <c r="A31" s="2" t="s">
        <v>729</v>
      </c>
      <c r="B31" s="2" t="s">
        <v>730</v>
      </c>
      <c r="D31" s="2" t="s">
        <v>32</v>
      </c>
      <c r="E31" s="42">
        <f>round(Colony!D94,-3)</f>
        <v>66000</v>
      </c>
      <c r="F31" s="229">
        <f>E31/E38</f>
        <v>0.05370219691</v>
      </c>
      <c r="G31" s="2" t="s">
        <v>736</v>
      </c>
    </row>
    <row r="32">
      <c r="A32" s="2" t="s">
        <v>737</v>
      </c>
      <c r="D32" s="2" t="s">
        <v>32</v>
      </c>
      <c r="E32" s="42">
        <f>round('Propellant production'!D25,-3)</f>
        <v>45000</v>
      </c>
    </row>
    <row r="33">
      <c r="A33" s="2" t="s">
        <v>740</v>
      </c>
      <c r="D33" s="2" t="s">
        <v>32</v>
      </c>
      <c r="E33" s="42">
        <f>round('Propellant production'!D12,-3)</f>
        <v>11000</v>
      </c>
    </row>
    <row r="34">
      <c r="A34" s="2" t="s">
        <v>743</v>
      </c>
      <c r="D34" s="2" t="s">
        <v>32</v>
      </c>
      <c r="E34" s="42">
        <f>round('Propellant production'!D23,-3)</f>
        <v>31000</v>
      </c>
    </row>
    <row r="35">
      <c r="A35" s="2" t="s">
        <v>747</v>
      </c>
      <c r="D35" s="2" t="s">
        <v>32</v>
      </c>
      <c r="E35">
        <f>E34*0.027</f>
        <v>837</v>
      </c>
      <c r="F35" s="1" t="s">
        <v>748</v>
      </c>
    </row>
    <row r="37">
      <c r="A37" s="2" t="s">
        <v>749</v>
      </c>
      <c r="D37" s="2" t="s">
        <v>32</v>
      </c>
      <c r="E37" s="42">
        <f>round(Colony!C288,-3)</f>
        <v>262000</v>
      </c>
      <c r="F37" s="40">
        <f>E37/E38</f>
        <v>0.2131814483</v>
      </c>
      <c r="G37" s="2" t="s">
        <v>736</v>
      </c>
    </row>
    <row r="38">
      <c r="A38" s="2" t="s">
        <v>752</v>
      </c>
      <c r="D38" s="2" t="s">
        <v>32</v>
      </c>
      <c r="E38" s="42">
        <f>round(Colony!D225*Colony!C285/1000,-3)</f>
        <v>1229000</v>
      </c>
      <c r="G38" s="2" t="s">
        <v>755</v>
      </c>
      <c r="H38" s="42">
        <f>55000*300</f>
        <v>16500000</v>
      </c>
    </row>
    <row r="39">
      <c r="A39" s="2" t="s">
        <v>757</v>
      </c>
      <c r="D39" s="2" t="s">
        <v>32</v>
      </c>
      <c r="E39" s="13">
        <f>Colony!D230</f>
        <v>664.4947917</v>
      </c>
    </row>
    <row r="40">
      <c r="A40" s="2"/>
    </row>
    <row r="41">
      <c r="A41" s="2"/>
    </row>
    <row r="42">
      <c r="A42" s="2"/>
    </row>
    <row r="43">
      <c r="A43" s="2" t="s">
        <v>760</v>
      </c>
    </row>
    <row r="44">
      <c r="A44" s="2" t="s">
        <v>761</v>
      </c>
      <c r="B44" s="2">
        <v>30000.0</v>
      </c>
      <c r="C44" s="2">
        <v>1.0</v>
      </c>
      <c r="D44" s="2" t="s">
        <v>142</v>
      </c>
      <c r="E44">
        <f t="shared" ref="E44:E46" si="4">C44*B44/1000</f>
        <v>30</v>
      </c>
    </row>
    <row r="45">
      <c r="A45" s="2" t="s">
        <v>764</v>
      </c>
      <c r="B45" s="2">
        <v>8000.0</v>
      </c>
      <c r="C45" s="2">
        <v>2.0</v>
      </c>
      <c r="D45" s="2" t="s">
        <v>142</v>
      </c>
      <c r="E45">
        <f t="shared" si="4"/>
        <v>16</v>
      </c>
    </row>
    <row r="46">
      <c r="A46" s="2" t="s">
        <v>765</v>
      </c>
      <c r="B46" s="2">
        <v>4000.0</v>
      </c>
      <c r="C46" s="2">
        <v>8.0</v>
      </c>
      <c r="D46" s="2" t="s">
        <v>142</v>
      </c>
      <c r="E46">
        <f t="shared" si="4"/>
        <v>32</v>
      </c>
    </row>
    <row r="47">
      <c r="E47">
        <f>SUM(E44:E46)</f>
        <v>78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0"/>
  </cols>
  <sheetData>
    <row r="1">
      <c r="A1" s="1" t="s">
        <v>790</v>
      </c>
    </row>
    <row r="2">
      <c r="A2" s="2" t="s">
        <v>791</v>
      </c>
    </row>
    <row r="3">
      <c r="A3" s="2" t="s">
        <v>3</v>
      </c>
      <c r="B3" s="2" t="s">
        <v>4</v>
      </c>
      <c r="C3" s="2">
        <v>700.0</v>
      </c>
    </row>
    <row r="4">
      <c r="A4" s="2" t="s">
        <v>140</v>
      </c>
      <c r="B4" s="2" t="s">
        <v>29</v>
      </c>
      <c r="C4" s="2">
        <v>0.002</v>
      </c>
    </row>
    <row r="5">
      <c r="A5" s="2" t="s">
        <v>83</v>
      </c>
      <c r="B5" s="2" t="s">
        <v>84</v>
      </c>
      <c r="C5" s="2">
        <v>900.0</v>
      </c>
    </row>
    <row r="6">
      <c r="A6" s="2" t="s">
        <v>796</v>
      </c>
      <c r="B6" s="2" t="s">
        <v>142</v>
      </c>
      <c r="C6">
        <f>C5*C4*C3*3</f>
        <v>3780</v>
      </c>
    </row>
    <row r="7">
      <c r="A7" s="2" t="s">
        <v>797</v>
      </c>
    </row>
    <row r="8">
      <c r="A8" s="2" t="s">
        <v>798</v>
      </c>
      <c r="B8" s="2"/>
      <c r="C8" s="2"/>
    </row>
    <row r="9">
      <c r="A9" s="2" t="s">
        <v>799</v>
      </c>
      <c r="B9" s="2" t="s">
        <v>800</v>
      </c>
      <c r="C9" s="2">
        <v>540000.0</v>
      </c>
    </row>
    <row r="10">
      <c r="A10" s="2" t="s">
        <v>1</v>
      </c>
      <c r="B10" s="2" t="s">
        <v>800</v>
      </c>
      <c r="C10">
        <f>C9/4</f>
        <v>135000</v>
      </c>
      <c r="E10" s="2" t="s">
        <v>803</v>
      </c>
    </row>
    <row r="11">
      <c r="B11" s="2" t="s">
        <v>87</v>
      </c>
      <c r="C11">
        <f>C10/10000</f>
        <v>13.5</v>
      </c>
    </row>
    <row r="12">
      <c r="A12" s="2" t="s">
        <v>804</v>
      </c>
      <c r="B12" s="2" t="s">
        <v>142</v>
      </c>
      <c r="C12">
        <f>C11*C3</f>
        <v>9450</v>
      </c>
    </row>
    <row r="14">
      <c r="A14" s="1" t="s">
        <v>805</v>
      </c>
    </row>
    <row r="15">
      <c r="A15" s="2" t="s">
        <v>806</v>
      </c>
      <c r="C15" s="43">
        <f>C6*500</f>
        <v>1890000</v>
      </c>
    </row>
    <row r="16">
      <c r="A16" s="2" t="s">
        <v>807</v>
      </c>
      <c r="B16" s="2"/>
      <c r="C16" s="244">
        <f>C15</f>
        <v>1890000</v>
      </c>
    </row>
    <row r="17">
      <c r="A17" s="2" t="s">
        <v>183</v>
      </c>
      <c r="B17" s="2"/>
      <c r="C17" s="244">
        <f>C16+C15</f>
        <v>3780000</v>
      </c>
    </row>
    <row r="18">
      <c r="A18" s="2" t="s">
        <v>809</v>
      </c>
      <c r="B18" s="2" t="s">
        <v>144</v>
      </c>
      <c r="C18" s="2">
        <v>20.0</v>
      </c>
    </row>
    <row r="19">
      <c r="A19" s="26"/>
      <c r="B19" s="25" t="s">
        <v>137</v>
      </c>
      <c r="C19" s="98">
        <f>C17/(C18*C12)</f>
        <v>20</v>
      </c>
    </row>
    <row r="20">
      <c r="B20" s="2" t="s">
        <v>612</v>
      </c>
      <c r="C20" s="43">
        <f>C19*1000</f>
        <v>20000</v>
      </c>
      <c r="D20" s="42">
        <f>500000/C20</f>
        <v>25</v>
      </c>
      <c r="E20" s="2" t="s">
        <v>815</v>
      </c>
    </row>
    <row r="21">
      <c r="A21" s="2" t="s">
        <v>816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1" t="s">
        <v>863</v>
      </c>
      <c r="B1" s="2"/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  <c r="P1" s="2"/>
      <c r="Q1" s="2"/>
      <c r="R1" s="2"/>
      <c r="S1" s="2"/>
      <c r="T1" s="2"/>
      <c r="U1" s="2"/>
    </row>
    <row r="2">
      <c r="B2" s="2" t="s">
        <v>864</v>
      </c>
      <c r="C2" s="2" t="s">
        <v>865</v>
      </c>
      <c r="D2" s="2" t="s">
        <v>866</v>
      </c>
      <c r="E2" s="2" t="s">
        <v>867</v>
      </c>
      <c r="F2" s="2" t="s">
        <v>868</v>
      </c>
      <c r="G2" s="2" t="s">
        <v>869</v>
      </c>
      <c r="H2" s="2" t="s">
        <v>870</v>
      </c>
      <c r="I2" s="2" t="s">
        <v>871</v>
      </c>
      <c r="J2" s="2" t="s">
        <v>872</v>
      </c>
      <c r="K2" s="2" t="s">
        <v>873</v>
      </c>
      <c r="M2" s="2" t="s">
        <v>865</v>
      </c>
      <c r="N2" s="2" t="s">
        <v>866</v>
      </c>
      <c r="O2" s="2" t="s">
        <v>867</v>
      </c>
      <c r="P2" s="2" t="s">
        <v>868</v>
      </c>
      <c r="Q2" s="2" t="s">
        <v>869</v>
      </c>
      <c r="R2" s="2" t="s">
        <v>870</v>
      </c>
      <c r="S2" s="2" t="s">
        <v>871</v>
      </c>
      <c r="T2" s="2" t="s">
        <v>872</v>
      </c>
      <c r="U2" s="2" t="s">
        <v>873</v>
      </c>
    </row>
    <row r="3">
      <c r="A3" s="2">
        <v>1.0</v>
      </c>
      <c r="B3" s="2">
        <v>1.0</v>
      </c>
      <c r="C3" s="2">
        <v>9.65781056292826</v>
      </c>
      <c r="D3" s="2">
        <v>47.8845318188981</v>
      </c>
      <c r="E3" s="2">
        <v>84.9253823740762</v>
      </c>
      <c r="F3" s="2">
        <v>110.284613510567</v>
      </c>
      <c r="G3" s="2">
        <v>119.232571032989</v>
      </c>
      <c r="H3" s="2">
        <v>110.284613510567</v>
      </c>
      <c r="I3" s="2">
        <v>84.9253823740762</v>
      </c>
      <c r="J3" s="2">
        <v>47.8845318188981</v>
      </c>
      <c r="K3" s="2">
        <v>9.65781056292826</v>
      </c>
      <c r="M3">
        <f t="shared" ref="M3:U3" si="1">AVERAGE(C3:C671)</f>
        <v>45.14803831</v>
      </c>
      <c r="N3">
        <f t="shared" si="1"/>
        <v>64.57165827</v>
      </c>
      <c r="O3">
        <f t="shared" si="1"/>
        <v>96.02644258</v>
      </c>
      <c r="P3">
        <f t="shared" si="1"/>
        <v>120.2646779</v>
      </c>
      <c r="Q3">
        <f t="shared" si="1"/>
        <v>129.4336494</v>
      </c>
      <c r="R3">
        <f t="shared" si="1"/>
        <v>121.3617566</v>
      </c>
      <c r="S3">
        <f t="shared" si="1"/>
        <v>98.00525227</v>
      </c>
      <c r="T3">
        <f t="shared" si="1"/>
        <v>66.95058228</v>
      </c>
      <c r="U3">
        <f t="shared" si="1"/>
        <v>47.42477919</v>
      </c>
    </row>
    <row r="4">
      <c r="A4" s="2">
        <v>2.0</v>
      </c>
      <c r="B4" s="2">
        <v>2.0</v>
      </c>
      <c r="C4" s="2">
        <v>9.21233667789924</v>
      </c>
      <c r="D4" s="2">
        <v>47.2333197304455</v>
      </c>
      <c r="E4" s="2">
        <v>84.3298783219631</v>
      </c>
      <c r="F4" s="2">
        <v>109.871465278535</v>
      </c>
      <c r="G4" s="2">
        <v>119.074011601197</v>
      </c>
      <c r="H4" s="2">
        <v>110.40469892428</v>
      </c>
      <c r="I4" s="2">
        <v>85.2961434806957</v>
      </c>
      <c r="J4" s="2">
        <v>48.4115629071644</v>
      </c>
      <c r="K4" s="2">
        <v>10.0877337605241</v>
      </c>
    </row>
    <row r="5">
      <c r="A5" s="2">
        <v>3.0</v>
      </c>
      <c r="B5" s="2">
        <v>3.0</v>
      </c>
      <c r="C5" s="2">
        <v>8.77811695406616</v>
      </c>
      <c r="D5" s="2">
        <v>46.5866868019404</v>
      </c>
      <c r="E5" s="2">
        <v>83.7364791332756</v>
      </c>
      <c r="F5" s="2">
        <v>109.458867483228</v>
      </c>
      <c r="G5" s="2">
        <v>118.914991059793</v>
      </c>
      <c r="H5" s="2">
        <v>110.523894414916</v>
      </c>
      <c r="I5" s="2">
        <v>85.6663971880464</v>
      </c>
      <c r="J5" s="2">
        <v>48.9399789937057</v>
      </c>
      <c r="K5" s="2">
        <v>10.526544895463</v>
      </c>
    </row>
    <row r="6">
      <c r="A6" s="2">
        <v>4.0</v>
      </c>
      <c r="B6" s="2">
        <v>4.0</v>
      </c>
      <c r="C6" s="2">
        <v>8.35512969244634</v>
      </c>
      <c r="D6" s="2">
        <v>45.9446569466405</v>
      </c>
      <c r="E6" s="2">
        <v>83.1452134917445</v>
      </c>
      <c r="F6" s="2">
        <v>109.046846014018</v>
      </c>
      <c r="G6" s="2">
        <v>118.755526590219</v>
      </c>
      <c r="H6" s="2">
        <v>110.642203723175</v>
      </c>
      <c r="I6" s="2">
        <v>86.0361298501199</v>
      </c>
      <c r="J6" s="2">
        <v>49.4697436023912</v>
      </c>
      <c r="K6" s="2">
        <v>10.9741845060474</v>
      </c>
    </row>
    <row r="7">
      <c r="A7" s="2">
        <v>5.0</v>
      </c>
      <c r="B7" s="2">
        <v>5.0</v>
      </c>
      <c r="C7" s="2">
        <v>7.94335166728938</v>
      </c>
      <c r="D7" s="2">
        <v>45.3072533672304</v>
      </c>
      <c r="E7" s="2">
        <v>82.556109740596</v>
      </c>
      <c r="F7" s="2">
        <v>108.635426733224</v>
      </c>
      <c r="G7" s="2">
        <v>118.59563558767</v>
      </c>
      <c r="H7" s="2">
        <v>110.759630946508</v>
      </c>
      <c r="I7" s="2">
        <v>86.4053281893089</v>
      </c>
      <c r="J7" s="2">
        <v>50.0008204653413</v>
      </c>
      <c r="K7" s="2">
        <v>11.4305926594613</v>
      </c>
    </row>
    <row r="8">
      <c r="A8" s="2">
        <v>6.0</v>
      </c>
      <c r="B8" s="2">
        <v>6.0</v>
      </c>
      <c r="C8" s="2">
        <v>7.54275782578941</v>
      </c>
      <c r="D8" s="2">
        <v>44.6744982636993</v>
      </c>
      <c r="E8" s="2">
        <v>81.9691956520312</v>
      </c>
      <c r="F8" s="2">
        <v>108.224635367029</v>
      </c>
      <c r="G8" s="2">
        <v>118.43533569796</v>
      </c>
      <c r="H8" s="2">
        <v>110.876180718819</v>
      </c>
      <c r="I8" s="2">
        <v>86.7739795900045</v>
      </c>
      <c r="J8" s="2">
        <v>50.5331738734845</v>
      </c>
      <c r="K8" s="2">
        <v>11.8957093341167</v>
      </c>
    </row>
    <row r="9">
      <c r="A9" s="2">
        <v>7.0</v>
      </c>
      <c r="B9" s="2">
        <v>7.0</v>
      </c>
      <c r="C9" s="2">
        <v>7.15332173134828</v>
      </c>
      <c r="D9" s="2">
        <v>44.0464136173562</v>
      </c>
      <c r="E9" s="2">
        <v>81.3844990705869</v>
      </c>
      <c r="F9" s="2">
        <v>107.814497852708</v>
      </c>
      <c r="G9" s="2">
        <v>118.274644799931</v>
      </c>
      <c r="H9" s="2">
        <v>110.991857828892</v>
      </c>
      <c r="I9" s="2">
        <v>87.1420714221225</v>
      </c>
      <c r="J9" s="2">
        <v>51.066767854867</v>
      </c>
      <c r="K9" s="2">
        <v>12.3694738764376</v>
      </c>
    </row>
    <row r="10">
      <c r="A10" s="2">
        <v>8.0</v>
      </c>
      <c r="B10" s="2">
        <v>8.0</v>
      </c>
      <c r="C10" s="2">
        <v>6.77501492238646</v>
      </c>
      <c r="D10" s="2">
        <v>43.4230204220044</v>
      </c>
      <c r="E10" s="2">
        <v>80.8020472857419</v>
      </c>
      <c r="F10" s="2">
        <v>107.4050400067</v>
      </c>
      <c r="G10" s="2">
        <v>118.11358103693</v>
      </c>
      <c r="H10" s="2">
        <v>111.106667614328</v>
      </c>
      <c r="I10" s="2">
        <v>87.5095917298188</v>
      </c>
      <c r="J10" s="2">
        <v>51.6015670140998</v>
      </c>
      <c r="K10" s="2">
        <v>12.8518257637693</v>
      </c>
    </row>
    <row r="11">
      <c r="A11" s="2">
        <v>9.0</v>
      </c>
      <c r="B11" s="2">
        <v>9.0</v>
      </c>
      <c r="C11" s="2">
        <v>6.4078071173684</v>
      </c>
      <c r="D11" s="2">
        <v>42.804339115689</v>
      </c>
      <c r="E11" s="2">
        <v>80.2218673468542</v>
      </c>
      <c r="F11" s="2">
        <v>106.996287638199</v>
      </c>
      <c r="G11" s="2">
        <v>117.952162701759</v>
      </c>
      <c r="H11" s="2">
        <v>111.220615634086</v>
      </c>
      <c r="I11" s="2">
        <v>87.876528748009</v>
      </c>
      <c r="J11" s="2">
        <v>52.1375359941097</v>
      </c>
      <c r="K11" s="2">
        <v>13.3427043014209</v>
      </c>
    </row>
    <row r="12">
      <c r="A12" s="2">
        <v>10.0</v>
      </c>
      <c r="B12" s="2">
        <v>10.0</v>
      </c>
      <c r="C12" s="2">
        <v>6.05166590829884</v>
      </c>
      <c r="D12" s="2">
        <v>42.1903893333895</v>
      </c>
      <c r="E12" s="2">
        <v>79.643985913022</v>
      </c>
      <c r="F12" s="2">
        <v>106.588266546044</v>
      </c>
      <c r="G12" s="2">
        <v>117.790408389822</v>
      </c>
      <c r="H12" s="2">
        <v>111.333707957651</v>
      </c>
      <c r="I12" s="2">
        <v>88.2428712826008</v>
      </c>
      <c r="J12" s="2">
        <v>52.6746398788949</v>
      </c>
      <c r="K12" s="2">
        <v>13.8420490167805</v>
      </c>
    </row>
    <row r="13">
      <c r="A13" s="2">
        <v>11.0</v>
      </c>
      <c r="B13" s="2">
        <v>11.0</v>
      </c>
      <c r="C13" s="2">
        <v>5.7065569202034</v>
      </c>
      <c r="D13" s="2">
        <v>41.5811903207341</v>
      </c>
      <c r="E13" s="2">
        <v>79.0684295511225</v>
      </c>
      <c r="F13" s="2">
        <v>106.181002614751</v>
      </c>
      <c r="G13" s="2">
        <v>117.628336866444</v>
      </c>
      <c r="H13" s="2">
        <v>111.445950820941</v>
      </c>
      <c r="I13" s="2">
        <v>88.6086082118239</v>
      </c>
      <c r="J13" s="2">
        <v>53.2128436394126</v>
      </c>
      <c r="K13" s="2">
        <v>14.349799323028</v>
      </c>
    </row>
    <row r="14">
      <c r="A14" s="2">
        <v>12.0</v>
      </c>
      <c r="B14" s="2">
        <v>12.0</v>
      </c>
      <c r="C14" s="2">
        <v>5.37244321845254</v>
      </c>
      <c r="D14" s="2">
        <v>40.9767602116481</v>
      </c>
      <c r="E14" s="2">
        <v>78.4952241587364</v>
      </c>
      <c r="F14" s="2">
        <v>105.774521538447</v>
      </c>
      <c r="G14" s="2">
        <v>117.465967155749</v>
      </c>
      <c r="H14" s="2">
        <v>111.557351073931</v>
      </c>
      <c r="I14" s="2">
        <v>88.973729221159</v>
      </c>
      <c r="J14" s="2">
        <v>53.752113013938</v>
      </c>
      <c r="K14" s="2">
        <v>14.865895348482</v>
      </c>
    </row>
    <row r="15">
      <c r="A15" s="2">
        <v>13.0</v>
      </c>
      <c r="B15" s="2">
        <v>13.0</v>
      </c>
      <c r="C15" s="2">
        <v>5.04928580622143</v>
      </c>
      <c r="D15" s="2">
        <v>40.3771170430757</v>
      </c>
      <c r="E15" s="2">
        <v>77.9243957731395</v>
      </c>
      <c r="F15" s="2">
        <v>105.368849203401</v>
      </c>
      <c r="G15" s="2">
        <v>117.303318408128</v>
      </c>
      <c r="H15" s="2">
        <v>111.667915544143</v>
      </c>
      <c r="I15" s="2">
        <v>89.3382237666961</v>
      </c>
      <c r="J15" s="2">
        <v>54.2924132764142</v>
      </c>
      <c r="K15" s="2">
        <v>15.3902770036889</v>
      </c>
    </row>
    <row r="16">
      <c r="A16" s="2">
        <v>14.0</v>
      </c>
      <c r="B16" s="2">
        <v>14.0</v>
      </c>
      <c r="C16" s="2">
        <v>4.73704293591813</v>
      </c>
      <c r="D16" s="2">
        <v>39.7822779223778</v>
      </c>
      <c r="E16" s="2">
        <v>77.3559699410608</v>
      </c>
      <c r="F16" s="2">
        <v>104.964011440262</v>
      </c>
      <c r="G16" s="2">
        <v>117.140410099909</v>
      </c>
      <c r="H16" s="2">
        <v>111.777651662712</v>
      </c>
      <c r="I16" s="2">
        <v>89.7020820289099</v>
      </c>
      <c r="J16" s="2">
        <v>54.8337103380053</v>
      </c>
      <c r="K16" s="2">
        <v>15.9228849800094</v>
      </c>
    </row>
    <row r="17">
      <c r="A17" s="2">
        <v>15.0</v>
      </c>
      <c r="B17" s="2">
        <v>15.0</v>
      </c>
      <c r="C17" s="2">
        <v>4.4356699703558</v>
      </c>
      <c r="D17" s="2">
        <v>39.1922589571547</v>
      </c>
      <c r="E17" s="2">
        <v>76.7899715631245</v>
      </c>
      <c r="F17" s="2">
        <v>104.56003380646</v>
      </c>
      <c r="G17" s="2">
        <v>116.977261787998</v>
      </c>
      <c r="H17" s="2">
        <v>111.886567230176</v>
      </c>
      <c r="I17" s="2">
        <v>90.0652947276565</v>
      </c>
      <c r="J17" s="2">
        <v>55.3759706440138</v>
      </c>
      <c r="K17" s="2">
        <v>16.4636608479186</v>
      </c>
    </row>
    <row r="18">
      <c r="A18" s="2">
        <v>16.0</v>
      </c>
      <c r="B18" s="2">
        <v>16.0</v>
      </c>
      <c r="C18" s="2">
        <v>4.14511978988414</v>
      </c>
      <c r="D18" s="2">
        <v>38.6070763541746</v>
      </c>
      <c r="E18" s="2">
        <v>76.2264259049634</v>
      </c>
      <c r="F18" s="2">
        <v>104.156942253011</v>
      </c>
      <c r="G18" s="2">
        <v>116.813893297249</v>
      </c>
      <c r="H18" s="2">
        <v>111.994670083909</v>
      </c>
      <c r="I18" s="2">
        <v>90.427852323425</v>
      </c>
      <c r="J18" s="2">
        <v>55.9191600706544</v>
      </c>
      <c r="K18" s="2">
        <v>17.0125461009323</v>
      </c>
    </row>
    <row r="19">
      <c r="A19" s="2">
        <v>17.0</v>
      </c>
      <c r="B19" s="2">
        <v>17.0</v>
      </c>
      <c r="C19" s="2">
        <v>3.86534194493609</v>
      </c>
      <c r="D19" s="2">
        <v>38.0267452122189</v>
      </c>
      <c r="E19" s="2">
        <v>75.665357533806</v>
      </c>
      <c r="F19" s="2">
        <v>103.754762482904</v>
      </c>
      <c r="G19" s="2">
        <v>116.65032463731</v>
      </c>
      <c r="H19" s="2">
        <v>112.101968600895</v>
      </c>
      <c r="I19" s="2">
        <v>90.7897460279837</v>
      </c>
      <c r="J19" s="2">
        <v>56.4632452486063</v>
      </c>
      <c r="K19" s="2">
        <v>17.5694834801734</v>
      </c>
    </row>
    <row r="20">
      <c r="A20" s="2">
        <v>18.0</v>
      </c>
      <c r="B20" s="2">
        <v>18.0</v>
      </c>
      <c r="C20" s="2">
        <v>3.5962826463735</v>
      </c>
      <c r="D20" s="2">
        <v>37.4512798308338</v>
      </c>
      <c r="E20" s="2">
        <v>75.1067905816052</v>
      </c>
      <c r="F20" s="2">
        <v>103.353520100985</v>
      </c>
      <c r="G20" s="2">
        <v>116.486576008311</v>
      </c>
      <c r="H20" s="2">
        <v>112.208471556413</v>
      </c>
      <c r="I20" s="2">
        <v>91.1509675405523</v>
      </c>
      <c r="J20" s="2">
        <v>57.0081932325466</v>
      </c>
      <c r="K20" s="2">
        <v>18.1344167973413</v>
      </c>
    </row>
    <row r="21">
      <c r="A21" s="2">
        <v>19.0</v>
      </c>
      <c r="B21" s="2">
        <v>19.0</v>
      </c>
      <c r="C21" s="2">
        <v>3.33788491121184</v>
      </c>
      <c r="D21" s="2">
        <v>36.8806944230568</v>
      </c>
      <c r="E21" s="2">
        <v>74.5507493527372</v>
      </c>
      <c r="F21" s="2">
        <v>102.953240941679</v>
      </c>
      <c r="G21" s="2">
        <v>116.322667770953</v>
      </c>
      <c r="H21" s="2">
        <v>112.314187729866</v>
      </c>
      <c r="I21" s="2">
        <v>91.5115083484913</v>
      </c>
      <c r="J21" s="2">
        <v>57.5539706249847</v>
      </c>
      <c r="K21" s="2">
        <v>18.7072902251616</v>
      </c>
    </row>
    <row r="22">
      <c r="A22" s="2">
        <v>20.0</v>
      </c>
      <c r="B22" s="2">
        <v>20.0</v>
      </c>
      <c r="C22" s="2">
        <v>3.09008775451697</v>
      </c>
      <c r="D22" s="2">
        <v>36.3150019875427</v>
      </c>
      <c r="E22" s="2">
        <v>73.9972573712253</v>
      </c>
      <c r="F22" s="2">
        <v>102.553950565166</v>
      </c>
      <c r="G22" s="2">
        <v>116.158620513029</v>
      </c>
      <c r="H22" s="2">
        <v>112.419126550599</v>
      </c>
      <c r="I22" s="2">
        <v>91.8713608578136</v>
      </c>
      <c r="J22" s="2">
        <v>58.1005449892521</v>
      </c>
      <c r="K22" s="2">
        <v>19.2880497307304</v>
      </c>
    </row>
    <row r="23">
      <c r="A23" s="2">
        <v>21.0</v>
      </c>
      <c r="B23" s="2">
        <v>21.0</v>
      </c>
      <c r="C23" s="2">
        <v>2.85282643557204</v>
      </c>
      <c r="D23" s="2">
        <v>35.7542152761716</v>
      </c>
      <c r="E23" s="2">
        <v>73.446338174182</v>
      </c>
      <c r="F23" s="2">
        <v>102.155674638584</v>
      </c>
      <c r="G23" s="2">
        <v>115.994454920611</v>
      </c>
      <c r="H23" s="2">
        <v>112.523297462331</v>
      </c>
      <c r="I23" s="2">
        <v>92.2305173454284</v>
      </c>
      <c r="J23" s="2">
        <v>58.6478835775399</v>
      </c>
      <c r="K23" s="2">
        <v>19.8766420302033</v>
      </c>
    </row>
    <row r="24">
      <c r="A24" s="2">
        <v>22.0</v>
      </c>
      <c r="B24" s="2">
        <v>22.0</v>
      </c>
      <c r="C24" s="2">
        <v>2.626031971928</v>
      </c>
      <c r="D24" s="2">
        <v>35.1983464279287</v>
      </c>
      <c r="E24" s="2">
        <v>72.898015070679</v>
      </c>
      <c r="F24" s="2">
        <v>101.758438906986</v>
      </c>
      <c r="G24" s="2">
        <v>115.830191983172</v>
      </c>
      <c r="H24" s="2">
        <v>112.62671033903</v>
      </c>
      <c r="I24" s="2">
        <v>92.588970524684</v>
      </c>
      <c r="J24" s="2">
        <v>59.1959539505982</v>
      </c>
      <c r="K24" s="2">
        <v>20.4730152414337</v>
      </c>
    </row>
    <row r="25">
      <c r="A25" s="2">
        <v>23.0</v>
      </c>
      <c r="B25" s="2">
        <v>23.0</v>
      </c>
      <c r="C25" s="2">
        <v>2.40963078158036</v>
      </c>
      <c r="D25" s="2">
        <v>34.6474067489033</v>
      </c>
      <c r="E25" s="2">
        <v>72.3523108485744</v>
      </c>
      <c r="F25" s="2">
        <v>101.36226888343</v>
      </c>
      <c r="G25" s="2">
        <v>115.665852719189</v>
      </c>
      <c r="H25" s="2">
        <v>112.729375290576</v>
      </c>
      <c r="I25" s="2">
        <v>92.9467134621644</v>
      </c>
      <c r="J25" s="2">
        <v>59.7447240163043</v>
      </c>
      <c r="K25" s="2">
        <v>21.0771191573887</v>
      </c>
    </row>
    <row r="26">
      <c r="A26" s="2">
        <v>24.0</v>
      </c>
      <c r="B26" s="2">
        <v>24.0</v>
      </c>
      <c r="C26" s="2">
        <v>2.20354449258232</v>
      </c>
      <c r="D26" s="2">
        <v>34.1014070805223</v>
      </c>
      <c r="E26" s="2">
        <v>71.8092481986541</v>
      </c>
      <c r="F26" s="2">
        <v>100.967190233479</v>
      </c>
      <c r="G26" s="2">
        <v>115.501458451881</v>
      </c>
      <c r="H26" s="2">
        <v>112.831302783458</v>
      </c>
      <c r="I26" s="2">
        <v>93.3037395246709</v>
      </c>
      <c r="J26" s="2">
        <v>60.2941618200647</v>
      </c>
      <c r="K26" s="2">
        <v>21.6889051008071</v>
      </c>
    </row>
    <row r="27">
      <c r="A27" s="2">
        <v>25.0</v>
      </c>
      <c r="B27" s="2">
        <v>25.0</v>
      </c>
      <c r="C27" s="2">
        <v>2.00768946745975</v>
      </c>
      <c r="D27" s="2">
        <v>33.5603574387181</v>
      </c>
      <c r="E27" s="2">
        <v>71.2688492936815</v>
      </c>
      <c r="F27" s="2">
        <v>100.573228387026</v>
      </c>
      <c r="G27" s="2">
        <v>115.337030524021</v>
      </c>
      <c r="H27" s="2">
        <v>112.932503507517</v>
      </c>
      <c r="I27" s="2">
        <v>93.6600424206072</v>
      </c>
      <c r="J27" s="2">
        <v>60.8442357497163</v>
      </c>
      <c r="K27" s="2">
        <v>22.3083263899977</v>
      </c>
    </row>
    <row r="28">
      <c r="A28" s="2">
        <v>26.0</v>
      </c>
      <c r="B28" s="2">
        <v>26.0</v>
      </c>
      <c r="C28" s="2">
        <v>1.82197658500985</v>
      </c>
      <c r="D28" s="2">
        <v>33.0242675088658</v>
      </c>
      <c r="E28" s="2">
        <v>70.7311363251218</v>
      </c>
      <c r="F28" s="2">
        <v>100.180408983366</v>
      </c>
      <c r="G28" s="2">
        <v>115.172590565276</v>
      </c>
      <c r="H28" s="2">
        <v>113.032988416546</v>
      </c>
      <c r="I28" s="2">
        <v>94.0156160048675</v>
      </c>
      <c r="J28" s="2">
        <v>61.3949141429625</v>
      </c>
      <c r="K28" s="2">
        <v>22.935338026017</v>
      </c>
    </row>
    <row r="29">
      <c r="A29" s="2">
        <v>27.0</v>
      </c>
      <c r="B29" s="2">
        <v>27.0</v>
      </c>
      <c r="C29" s="2">
        <v>1.64631064362463</v>
      </c>
      <c r="D29" s="2">
        <v>32.4931461812499</v>
      </c>
      <c r="E29" s="2">
        <v>70.1961310269136</v>
      </c>
      <c r="F29" s="2">
        <v>99.7887575055315</v>
      </c>
      <c r="G29" s="2">
        <v>115.008160311442</v>
      </c>
      <c r="H29" s="2">
        <v>113.132768769159</v>
      </c>
      <c r="I29" s="2">
        <v>94.3704545394727</v>
      </c>
      <c r="J29" s="2">
        <v>61.9461657225734</v>
      </c>
      <c r="K29" s="2">
        <v>23.5698973930441</v>
      </c>
    </row>
    <row r="30">
      <c r="A30" s="2">
        <v>28.0</v>
      </c>
      <c r="B30" s="2">
        <v>28.0</v>
      </c>
      <c r="C30" s="2">
        <v>1.48058999404009</v>
      </c>
      <c r="D30" s="2">
        <v>31.9670018400591</v>
      </c>
      <c r="E30" s="2">
        <v>69.6638549506041</v>
      </c>
      <c r="F30" s="2">
        <v>99.3982994609226</v>
      </c>
      <c r="G30" s="2">
        <v>114.843761649546</v>
      </c>
      <c r="H30" s="2">
        <v>113.231856025312</v>
      </c>
      <c r="I30" s="2">
        <v>94.7245524548556</v>
      </c>
      <c r="J30" s="2">
        <v>62.4979592631872</v>
      </c>
      <c r="K30" s="2">
        <v>24.2119641164101</v>
      </c>
    </row>
    <row r="31">
      <c r="A31" s="2">
        <v>29.0</v>
      </c>
      <c r="B31" s="2">
        <v>29.0</v>
      </c>
      <c r="C31" s="2">
        <v>1.32470596304972</v>
      </c>
      <c r="D31" s="2">
        <v>31.4458422371346</v>
      </c>
      <c r="E31" s="2">
        <v>69.1343293652732</v>
      </c>
      <c r="F31" s="2">
        <v>99.0090603400603</v>
      </c>
      <c r="G31" s="2">
        <v>114.679416648559</v>
      </c>
      <c r="H31" s="2">
        <v>113.330261947972</v>
      </c>
      <c r="I31" s="2">
        <v>95.0779045092405</v>
      </c>
      <c r="J31" s="2">
        <v>63.050263783784</v>
      </c>
      <c r="K31" s="2">
        <v>24.8615004905799</v>
      </c>
    </row>
    <row r="32">
      <c r="A32" s="2">
        <v>30.0</v>
      </c>
      <c r="B32" s="2">
        <v>30.0</v>
      </c>
      <c r="C32" s="2">
        <v>1.17854223220793</v>
      </c>
      <c r="D32" s="2">
        <v>30.9296743381934</v>
      </c>
      <c r="E32" s="2">
        <v>68.6075750870758</v>
      </c>
      <c r="F32" s="2">
        <v>98.6210654721725</v>
      </c>
      <c r="G32" s="2">
        <v>114.515147470014</v>
      </c>
      <c r="H32" s="2">
        <v>113.427998586352</v>
      </c>
      <c r="I32" s="2">
        <v>95.4305058498653</v>
      </c>
      <c r="J32" s="2">
        <v>63.6030486784198</v>
      </c>
      <c r="K32" s="2">
        <v>25.5184719264746</v>
      </c>
    </row>
    <row r="33">
      <c r="A33" s="2">
        <v>31.0</v>
      </c>
      <c r="B33" s="2">
        <v>31.0</v>
      </c>
      <c r="C33" s="2">
        <v>1.04197434879123</v>
      </c>
      <c r="D33" s="2">
        <v>30.4185048820223</v>
      </c>
      <c r="E33" s="2">
        <v>68.083613024961</v>
      </c>
      <c r="F33" s="2">
        <v>98.2343403924032</v>
      </c>
      <c r="G33" s="2">
        <v>114.350976470808</v>
      </c>
      <c r="H33" s="2">
        <v>113.525078083641</v>
      </c>
      <c r="I33" s="2">
        <v>95.7823515464539</v>
      </c>
      <c r="J33" s="2">
        <v>64.156283047862</v>
      </c>
      <c r="K33" s="2">
        <v>26.1828464981243</v>
      </c>
    </row>
    <row r="34">
      <c r="A34" s="2">
        <v>32.0</v>
      </c>
      <c r="B34" s="2">
        <v>32.0</v>
      </c>
      <c r="C34" s="2">
        <v>0.9148687521966</v>
      </c>
      <c r="D34" s="2">
        <v>29.9123395763161</v>
      </c>
      <c r="E34" s="2">
        <v>67.562463435497</v>
      </c>
      <c r="F34" s="2">
        <v>97.8489103890188</v>
      </c>
      <c r="G34" s="2">
        <v>114.186926157002</v>
      </c>
      <c r="H34" s="2">
        <v>113.621513067965</v>
      </c>
      <c r="I34" s="2">
        <v>96.133437374187</v>
      </c>
      <c r="J34" s="2">
        <v>64.7099367560966</v>
      </c>
      <c r="K34" s="2">
        <v>26.8545964468782</v>
      </c>
    </row>
    <row r="35">
      <c r="A35" s="2">
        <v>33.0</v>
      </c>
      <c r="B35" s="2">
        <v>33.0</v>
      </c>
      <c r="C35" s="2">
        <v>0.797082177055746</v>
      </c>
      <c r="D35" s="2">
        <v>29.4111838742219</v>
      </c>
      <c r="E35" s="2">
        <v>67.0441466137956</v>
      </c>
      <c r="F35" s="2">
        <v>97.464800874732</v>
      </c>
      <c r="G35" s="2">
        <v>114.023019131621</v>
      </c>
      <c r="H35" s="2">
        <v>113.717316160464</v>
      </c>
      <c r="I35" s="2">
        <v>96.4837589424787</v>
      </c>
      <c r="J35" s="2">
        <v>65.2639793110231</v>
      </c>
      <c r="K35" s="2">
        <v>27.5336973838522</v>
      </c>
    </row>
    <row r="36">
      <c r="A36" s="2">
        <v>34.0</v>
      </c>
      <c r="B36" s="2">
        <v>34.0</v>
      </c>
      <c r="C36" s="2">
        <v>0.688460563731512</v>
      </c>
      <c r="D36" s="2">
        <v>28.9150424705821</v>
      </c>
      <c r="E36" s="2">
        <v>66.5286824629489</v>
      </c>
      <c r="F36" s="2">
        <v>97.0820371776578</v>
      </c>
      <c r="G36" s="2">
        <v>113.859278170389</v>
      </c>
      <c r="H36" s="2">
        <v>113.812500340829</v>
      </c>
      <c r="I36" s="2">
        <v>96.8333123052063</v>
      </c>
      <c r="J36" s="2">
        <v>65.8183806287431</v>
      </c>
      <c r="K36" s="2">
        <v>28.2201295529057</v>
      </c>
    </row>
    <row r="37">
      <c r="A37" s="2">
        <v>35.0</v>
      </c>
      <c r="B37" s="2">
        <v>35.0</v>
      </c>
      <c r="C37" s="2">
        <v>0.588838027218884</v>
      </c>
      <c r="D37" s="2">
        <v>28.4239194204295</v>
      </c>
      <c r="E37" s="2">
        <v>66.0160905826445</v>
      </c>
      <c r="F37" s="2">
        <v>96.7006445619963</v>
      </c>
      <c r="G37" s="2">
        <v>113.695726162894</v>
      </c>
      <c r="H37" s="2">
        <v>113.907078813925</v>
      </c>
      <c r="I37" s="2">
        <v>97.1820937709978</v>
      </c>
      <c r="J37" s="2">
        <v>66.3731108165675</v>
      </c>
      <c r="K37" s="2">
        <v>28.9138781575318</v>
      </c>
    </row>
    <row r="38">
      <c r="A38" s="2">
        <v>36.0</v>
      </c>
      <c r="B38" s="2">
        <v>36.0</v>
      </c>
      <c r="C38" s="2">
        <v>0.498035649870131</v>
      </c>
      <c r="D38" s="2">
        <v>27.9378182766978</v>
      </c>
      <c r="E38" s="2">
        <v>65.5063904125175</v>
      </c>
      <c r="F38" s="2">
        <v>96.3206483307531</v>
      </c>
      <c r="G38" s="2">
        <v>113.532386150321</v>
      </c>
      <c r="H38" s="2">
        <v>114.001064972374</v>
      </c>
      <c r="I38" s="2">
        <v>97.5300997935871</v>
      </c>
      <c r="J38" s="2">
        <v>66.9281400065071</v>
      </c>
      <c r="K38" s="2">
        <v>29.6149337899969</v>
      </c>
    </row>
    <row r="39">
      <c r="A39" s="2">
        <v>37.0</v>
      </c>
      <c r="B39" s="2">
        <v>37.0</v>
      </c>
      <c r="C39" s="2">
        <v>0.41585999501869</v>
      </c>
      <c r="D39" s="2">
        <v>27.4567418275763</v>
      </c>
      <c r="E39" s="2">
        <v>64.9996009769797</v>
      </c>
      <c r="F39" s="2">
        <v>95.9420736580862</v>
      </c>
      <c r="G39" s="2">
        <v>113.369281287215</v>
      </c>
      <c r="H39" s="2">
        <v>114.094472502693</v>
      </c>
      <c r="I39" s="2">
        <v>97.877327212715</v>
      </c>
      <c r="J39" s="2">
        <v>67.4834386978396</v>
      </c>
      <c r="K39" s="2">
        <v>30.3232935913528</v>
      </c>
    </row>
    <row r="40">
      <c r="A40" s="2">
        <v>38.0</v>
      </c>
      <c r="B40" s="2">
        <v>38.0</v>
      </c>
      <c r="C40" s="2">
        <v>0.342101521038113</v>
      </c>
      <c r="D40" s="2">
        <v>26.9806926053507</v>
      </c>
      <c r="E40" s="2">
        <v>64.4957413719574</v>
      </c>
      <c r="F40" s="2">
        <v>95.5649458847178</v>
      </c>
      <c r="G40" s="2">
        <v>113.206434864815</v>
      </c>
      <c r="H40" s="2">
        <v>114.187315113765</v>
      </c>
      <c r="I40" s="2">
        <v>98.2237727155811</v>
      </c>
      <c r="J40" s="2">
        <v>68.0389770244688</v>
      </c>
      <c r="K40" s="2">
        <v>31.0389613075674</v>
      </c>
    </row>
    <row r="41">
      <c r="A41" s="2">
        <v>39.0</v>
      </c>
      <c r="B41" s="2">
        <v>39.0</v>
      </c>
      <c r="C41" s="2">
        <v>0.27653247223973</v>
      </c>
      <c r="D41" s="2">
        <v>26.5096722577294</v>
      </c>
      <c r="E41" s="2">
        <v>63.9948301797233</v>
      </c>
      <c r="F41" s="2">
        <v>95.1892901775039</v>
      </c>
      <c r="G41" s="2">
        <v>113.043870310706</v>
      </c>
      <c r="H41" s="2">
        <v>114.279606900614</v>
      </c>
      <c r="I41" s="2">
        <v>98.5694335265681</v>
      </c>
      <c r="J41" s="2">
        <v>68.5947256766664</v>
      </c>
      <c r="K41" s="2">
        <v>31.7619494615217</v>
      </c>
    </row>
    <row r="42">
      <c r="A42" s="2">
        <v>40.0</v>
      </c>
      <c r="B42" s="2">
        <v>40.0</v>
      </c>
      <c r="C42" s="2">
        <v>0.218904545010143</v>
      </c>
      <c r="D42" s="2">
        <v>26.0436817942121</v>
      </c>
      <c r="E42" s="2">
        <v>63.4968856866929</v>
      </c>
      <c r="F42" s="2">
        <v>94.8151316362756</v>
      </c>
      <c r="G42" s="2">
        <v>112.88161115046</v>
      </c>
      <c r="H42" s="2">
        <v>114.371362157292</v>
      </c>
      <c r="I42" s="2">
        <v>98.9143070936134</v>
      </c>
      <c r="J42" s="2">
        <v>69.1506555049647</v>
      </c>
      <c r="K42" s="2">
        <v>32.4922803010742</v>
      </c>
    </row>
    <row r="43">
      <c r="A43" s="2">
        <v>41.0</v>
      </c>
      <c r="B43" s="2">
        <v>41.0</v>
      </c>
      <c r="C43" s="2">
        <v>0.168946001877602</v>
      </c>
      <c r="D43" s="2">
        <v>25.5827218390199</v>
      </c>
      <c r="E43" s="2">
        <v>63.0019261401629</v>
      </c>
      <c r="F43" s="2">
        <v>94.4424954635871</v>
      </c>
      <c r="G43" s="2">
        <v>112.71968104512</v>
      </c>
      <c r="H43" s="2">
        <v>114.462595265788</v>
      </c>
      <c r="I43" s="2">
        <v>99.2583908375314</v>
      </c>
      <c r="J43" s="2">
        <v>69.7067371608093</v>
      </c>
      <c r="K43" s="2">
        <v>33.2299870960617</v>
      </c>
    </row>
    <row r="44">
      <c r="A44" s="2">
        <v>42.0</v>
      </c>
      <c r="B44" s="2">
        <v>42.0</v>
      </c>
      <c r="C44" s="2">
        <v>0.126357997048483</v>
      </c>
      <c r="D44" s="2">
        <v>25.1267922531705</v>
      </c>
      <c r="E44" s="2">
        <v>62.5099693803316</v>
      </c>
      <c r="F44" s="2">
        <v>94.0714067304714</v>
      </c>
      <c r="G44" s="2">
        <v>112.55810375325</v>
      </c>
      <c r="H44" s="2">
        <v>114.553320875361</v>
      </c>
      <c r="I44" s="2">
        <v>99.6016825328215</v>
      </c>
      <c r="J44" s="2">
        <v>70.2629416296927</v>
      </c>
      <c r="K44" s="2">
        <v>33.9751170323637</v>
      </c>
    </row>
    <row r="45">
      <c r="A45" s="2">
        <v>43.0</v>
      </c>
      <c r="B45" s="2">
        <v>43.0</v>
      </c>
      <c r="C45" s="2">
        <v>0.0908100013260674</v>
      </c>
      <c r="D45" s="2">
        <v>24.6758923876783</v>
      </c>
      <c r="E45" s="2">
        <v>62.0210330968266</v>
      </c>
      <c r="F45" s="2">
        <v>93.7018905457605</v>
      </c>
      <c r="G45" s="2">
        <v>112.396903167976</v>
      </c>
      <c r="H45" s="2">
        <v>114.643553791154</v>
      </c>
      <c r="I45" s="2">
        <v>99.9441800569868</v>
      </c>
      <c r="J45" s="2">
        <v>70.8192398722379</v>
      </c>
      <c r="K45" s="2">
        <v>34.7277337407752</v>
      </c>
    </row>
    <row r="46">
      <c r="A46" s="2">
        <v>44.0</v>
      </c>
      <c r="B46" s="2">
        <v>44.0</v>
      </c>
      <c r="C46" s="2">
        <v>0.0619337589832877</v>
      </c>
      <c r="D46" s="2">
        <v>24.2300209561967</v>
      </c>
      <c r="E46" s="2">
        <v>61.5351347028623</v>
      </c>
      <c r="F46" s="2">
        <v>93.3339719710659</v>
      </c>
      <c r="G46" s="2">
        <v>112.236103294274</v>
      </c>
      <c r="H46" s="2">
        <v>114.733309022283</v>
      </c>
      <c r="I46" s="2">
        <v>100.285881506049</v>
      </c>
      <c r="J46" s="2">
        <v>71.3756029923365</v>
      </c>
      <c r="K46" s="2">
        <v>35.4879215606534</v>
      </c>
    </row>
    <row r="47">
      <c r="A47" s="2">
        <v>45.0</v>
      </c>
      <c r="B47" s="2">
        <v>45.0</v>
      </c>
      <c r="C47" s="2">
        <v>0.0393151056158174</v>
      </c>
      <c r="D47" s="2">
        <v>23.7891760353208</v>
      </c>
      <c r="E47" s="2">
        <v>61.0522913370823</v>
      </c>
      <c r="F47" s="2">
        <v>92.9676760203825</v>
      </c>
      <c r="G47" s="2">
        <v>112.075728245777</v>
      </c>
      <c r="H47" s="2">
        <v>114.82260177629</v>
      </c>
      <c r="I47" s="2">
        <v>100.626785187621</v>
      </c>
      <c r="J47" s="2">
        <v>71.9320022295686</v>
      </c>
      <c r="K47" s="2">
        <v>36.2557912794624</v>
      </c>
    </row>
    <row r="48">
      <c r="A48" s="2">
        <v>46.0</v>
      </c>
      <c r="B48" s="2">
        <v>46.0</v>
      </c>
      <c r="C48" s="2">
        <v>0.0224823112402945</v>
      </c>
      <c r="D48" s="2">
        <v>23.3533553075628</v>
      </c>
      <c r="E48" s="2">
        <v>60.5725201185615</v>
      </c>
      <c r="F48" s="2">
        <v>92.6030278325274</v>
      </c>
      <c r="G48" s="2">
        <v>111.915802287149</v>
      </c>
      <c r="H48" s="2">
        <v>114.911447353026</v>
      </c>
      <c r="I48" s="2">
        <v>100.966889372837</v>
      </c>
      <c r="J48" s="2">
        <v>72.4884085960533</v>
      </c>
      <c r="K48" s="2">
        <v>37.0314882234473</v>
      </c>
    </row>
    <row r="49">
      <c r="A49" s="2">
        <v>47.0</v>
      </c>
      <c r="B49" s="2">
        <v>47.0</v>
      </c>
      <c r="C49" s="2">
        <v>0.010888259232732</v>
      </c>
      <c r="D49" s="2">
        <v>22.9225555610492</v>
      </c>
      <c r="E49" s="2">
        <v>60.0958376166967</v>
      </c>
      <c r="F49" s="2">
        <v>92.240052288691</v>
      </c>
      <c r="G49" s="2">
        <v>111.756349696445</v>
      </c>
      <c r="H49" s="2">
        <v>114.999861295428</v>
      </c>
      <c r="I49" s="2">
        <v>101.306192730925</v>
      </c>
      <c r="J49" s="2">
        <v>73.0447935468174</v>
      </c>
      <c r="K49" s="2">
        <v>37.8152068576975</v>
      </c>
    </row>
    <row r="50">
      <c r="A50" s="2">
        <v>48.0</v>
      </c>
      <c r="B50" s="2">
        <v>48.0</v>
      </c>
      <c r="C50" s="2">
        <v>0.00388042815896882</v>
      </c>
      <c r="D50" s="2">
        <v>22.4967731964413</v>
      </c>
      <c r="E50" s="2">
        <v>59.6222604101124</v>
      </c>
      <c r="F50" s="2">
        <v>91.8787744341352</v>
      </c>
      <c r="G50" s="2">
        <v>111.597394944956</v>
      </c>
      <c r="H50" s="2">
        <v>115.087859277043</v>
      </c>
      <c r="I50" s="2">
        <v>101.644693922899</v>
      </c>
      <c r="J50" s="2">
        <v>73.6011283212883</v>
      </c>
      <c r="K50" s="2">
        <v>38.6072141738292</v>
      </c>
    </row>
    <row r="51">
      <c r="A51" s="2">
        <v>49.0</v>
      </c>
      <c r="B51" s="2">
        <v>49.0</v>
      </c>
      <c r="C51" s="2">
        <v>6.40669651776748E-4</v>
      </c>
      <c r="D51" s="2">
        <v>22.0760037241025</v>
      </c>
      <c r="E51" s="2">
        <v>59.1518045328184</v>
      </c>
      <c r="F51" s="2">
        <v>91.5192190554793</v>
      </c>
      <c r="G51" s="2">
        <v>111.438962509611</v>
      </c>
      <c r="H51" s="2">
        <v>115.175457201421</v>
      </c>
      <c r="I51" s="2">
        <v>101.982391992075</v>
      </c>
      <c r="J51" s="2">
        <v>74.1573845855988</v>
      </c>
      <c r="K51" s="2">
        <v>39.4079019598834</v>
      </c>
    </row>
    <row r="52">
      <c r="A52" s="2">
        <v>50.0</v>
      </c>
      <c r="B52" s="2">
        <v>50.0</v>
      </c>
      <c r="C52" s="2">
        <v>0.0</v>
      </c>
      <c r="D52" s="2">
        <v>21.6602424983534</v>
      </c>
      <c r="E52" s="2">
        <v>58.6844862830818</v>
      </c>
      <c r="F52" s="2">
        <v>91.1614112788927</v>
      </c>
      <c r="G52" s="2">
        <v>111.281077105673</v>
      </c>
      <c r="H52" s="2">
        <v>115.262670996889</v>
      </c>
      <c r="I52" s="2">
        <v>102.319285721348</v>
      </c>
      <c r="J52" s="2">
        <v>74.7135334143449</v>
      </c>
      <c r="K52" s="2">
        <v>40.2179538863994</v>
      </c>
    </row>
    <row r="53">
      <c r="A53" s="2">
        <v>51.0</v>
      </c>
      <c r="B53" s="2">
        <v>51.0</v>
      </c>
      <c r="C53" s="2">
        <v>0.0</v>
      </c>
      <c r="D53" s="2">
        <v>21.249483862938</v>
      </c>
      <c r="E53" s="2">
        <v>58.2203212928201</v>
      </c>
      <c r="F53" s="2">
        <v>90.8053758855891</v>
      </c>
      <c r="G53" s="2">
        <v>111.123763425158</v>
      </c>
      <c r="H53" s="2">
        <v>115.349516860432</v>
      </c>
      <c r="I53" s="2">
        <v>102.655374381119</v>
      </c>
      <c r="J53" s="2">
        <v>75.2695464683717</v>
      </c>
      <c r="K53" s="2">
        <v>41.0387387518694</v>
      </c>
    </row>
    <row r="54">
      <c r="A54" s="2">
        <v>52.0</v>
      </c>
      <c r="B54" s="2">
        <v>52.0</v>
      </c>
      <c r="C54" s="2">
        <v>0.0</v>
      </c>
      <c r="D54" s="2">
        <v>20.8437217578639</v>
      </c>
      <c r="E54" s="2">
        <v>57.7593251971423</v>
      </c>
      <c r="F54" s="2">
        <v>90.4511378047311</v>
      </c>
      <c r="G54" s="2">
        <v>110.967046324111</v>
      </c>
      <c r="H54" s="2">
        <v>115.436011079482</v>
      </c>
      <c r="I54" s="2">
        <v>102.990657186457</v>
      </c>
      <c r="J54" s="2">
        <v>75.8253951386332</v>
      </c>
      <c r="K54" s="2">
        <v>41.8702176572277</v>
      </c>
    </row>
    <row r="55">
      <c r="A55" s="2">
        <v>53.0</v>
      </c>
      <c r="B55" s="2">
        <v>53.0</v>
      </c>
      <c r="C55" s="2">
        <v>0.0</v>
      </c>
      <c r="D55" s="2">
        <v>20.4429494754211</v>
      </c>
      <c r="E55" s="2">
        <v>57.3015133718018</v>
      </c>
      <c r="F55" s="2">
        <v>90.09872192082</v>
      </c>
      <c r="G55" s="2">
        <v>110.810950749376</v>
      </c>
      <c r="H55" s="2">
        <v>115.522170101235</v>
      </c>
      <c r="I55" s="2">
        <v>103.325133508488</v>
      </c>
      <c r="J55" s="2">
        <v>76.381050877911</v>
      </c>
      <c r="K55" s="2">
        <v>42.7117282458509</v>
      </c>
    </row>
    <row r="56">
      <c r="A56" s="2">
        <v>54.0</v>
      </c>
      <c r="B56" s="2">
        <v>54.0</v>
      </c>
      <c r="C56" s="2">
        <v>0.0</v>
      </c>
      <c r="D56" s="2">
        <v>20.0471595375047</v>
      </c>
      <c r="E56" s="2">
        <v>56.8469007866023</v>
      </c>
      <c r="F56" s="2">
        <v>89.7481529482368</v>
      </c>
      <c r="G56" s="2">
        <v>110.655501663438</v>
      </c>
      <c r="H56" s="2">
        <v>115.608010525568</v>
      </c>
      <c r="I56" s="2">
        <v>103.658802942086</v>
      </c>
      <c r="J56" s="2">
        <v>76.936485339074</v>
      </c>
      <c r="K56" s="2">
        <v>43.5626379856078</v>
      </c>
    </row>
    <row r="57">
      <c r="A57" s="2">
        <v>55.0</v>
      </c>
      <c r="B57" s="2">
        <v>55.0</v>
      </c>
      <c r="C57" s="2">
        <v>0.0</v>
      </c>
      <c r="D57" s="2">
        <v>19.6563442827879</v>
      </c>
      <c r="E57" s="2">
        <v>56.3955026820169</v>
      </c>
      <c r="F57" s="2">
        <v>89.3994559486462</v>
      </c>
      <c r="G57" s="2">
        <v>110.500724266021</v>
      </c>
      <c r="H57" s="2">
        <v>115.693548962829</v>
      </c>
      <c r="I57" s="2">
        <v>103.991664791585</v>
      </c>
      <c r="J57" s="2">
        <v>77.4916695279044</v>
      </c>
      <c r="K57" s="2">
        <v>44.4223411734112</v>
      </c>
    </row>
    <row r="58">
      <c r="A58" s="2">
        <v>56.0</v>
      </c>
      <c r="B58" s="2">
        <v>56.0</v>
      </c>
      <c r="C58" s="2">
        <v>0.0</v>
      </c>
      <c r="D58" s="2">
        <v>19.2704948251525</v>
      </c>
      <c r="E58" s="2">
        <v>55.9473334080953</v>
      </c>
      <c r="F58" s="2">
        <v>89.0526554802643</v>
      </c>
      <c r="G58" s="2">
        <v>110.346643685793</v>
      </c>
      <c r="H58" s="2">
        <v>115.778802376347</v>
      </c>
      <c r="I58" s="2">
        <v>104.323719065554</v>
      </c>
      <c r="J58" s="2">
        <v>78.0465753655848</v>
      </c>
      <c r="K58" s="2">
        <v>45.2902596848566</v>
      </c>
    </row>
    <row r="59">
      <c r="A59" s="2">
        <v>57.0</v>
      </c>
      <c r="B59" s="2">
        <v>57.0</v>
      </c>
      <c r="C59" s="2">
        <v>0.0</v>
      </c>
      <c r="D59" s="2">
        <v>18.8896021975984</v>
      </c>
      <c r="E59" s="2">
        <v>55.5024077023937</v>
      </c>
      <c r="F59" s="2">
        <v>88.7077765206583</v>
      </c>
      <c r="G59" s="2">
        <v>110.193285289952</v>
      </c>
      <c r="H59" s="2">
        <v>115.863787661689</v>
      </c>
      <c r="I59" s="2">
        <v>104.654965328525</v>
      </c>
      <c r="J59" s="2">
        <v>78.6011739078752</v>
      </c>
      <c r="K59" s="2">
        <v>46.1658388558579</v>
      </c>
    </row>
    <row r="60">
      <c r="A60" s="2">
        <v>58.0</v>
      </c>
      <c r="B60" s="2">
        <v>58.0</v>
      </c>
      <c r="C60" s="2">
        <v>0.0</v>
      </c>
      <c r="D60" s="2">
        <v>18.5136564376571</v>
      </c>
      <c r="E60" s="2">
        <v>55.0607396682041</v>
      </c>
      <c r="F60" s="2">
        <v>88.364843721486</v>
      </c>
      <c r="G60" s="2">
        <v>110.040674421599</v>
      </c>
      <c r="H60" s="2">
        <v>115.948521962376</v>
      </c>
      <c r="I60" s="2">
        <v>104.985403595914</v>
      </c>
      <c r="J60" s="2">
        <v>79.1554367449289</v>
      </c>
      <c r="K60" s="2">
        <v>47.0485482181642</v>
      </c>
    </row>
    <row r="61">
      <c r="A61" s="2">
        <v>59.0</v>
      </c>
      <c r="B61" s="2">
        <v>59.0</v>
      </c>
      <c r="C61" s="2">
        <v>0.0</v>
      </c>
      <c r="D61" s="2">
        <v>18.1426472579547</v>
      </c>
      <c r="E61" s="2">
        <v>54.6223435267328</v>
      </c>
      <c r="F61" s="2">
        <v>88.023881943334</v>
      </c>
      <c r="G61" s="2">
        <v>109.888836562345</v>
      </c>
      <c r="H61" s="2">
        <v>116.033022391624</v>
      </c>
      <c r="I61" s="2">
        <v>105.315033618412</v>
      </c>
      <c r="J61" s="2">
        <v>79.7093349046168</v>
      </c>
      <c r="K61" s="2">
        <v>47.9378785780725</v>
      </c>
    </row>
    <row r="62">
      <c r="A62" s="2">
        <v>60.0</v>
      </c>
      <c r="B62" s="2">
        <v>60.0</v>
      </c>
      <c r="C62" s="2">
        <v>0.0</v>
      </c>
      <c r="D62" s="2">
        <v>17.7765635007391</v>
      </c>
      <c r="E62" s="2">
        <v>54.1872330303964</v>
      </c>
      <c r="F62" s="2">
        <v>87.6849158663061</v>
      </c>
      <c r="G62" s="2">
        <v>109.737797260362</v>
      </c>
      <c r="H62" s="2">
        <v>116.117306325664</v>
      </c>
      <c r="I62" s="2">
        <v>105.643855528589</v>
      </c>
      <c r="J62" s="2">
        <v>80.2628397961622</v>
      </c>
      <c r="K62" s="2">
        <v>48.8333422126001</v>
      </c>
    </row>
    <row r="63">
      <c r="A63" s="2">
        <v>61.0</v>
      </c>
      <c r="B63" s="2">
        <v>61.0</v>
      </c>
      <c r="C63" s="2">
        <v>0.0</v>
      </c>
      <c r="D63" s="2">
        <v>17.4153934578526</v>
      </c>
      <c r="E63" s="2">
        <v>53.7554218049975</v>
      </c>
      <c r="F63" s="2">
        <v>87.3479702032105</v>
      </c>
      <c r="G63" s="2">
        <v>109.587582143149</v>
      </c>
      <c r="H63" s="2">
        <v>116.201391190978</v>
      </c>
      <c r="I63" s="2">
        <v>105.971869414392</v>
      </c>
      <c r="J63" s="2">
        <v>80.8159226057264</v>
      </c>
      <c r="K63" s="2">
        <v>49.7344708886439</v>
      </c>
    </row>
    <row r="64">
      <c r="A64" s="2">
        <v>62.0</v>
      </c>
      <c r="B64" s="2">
        <v>62.0</v>
      </c>
      <c r="C64" s="2">
        <v>0.0</v>
      </c>
      <c r="D64" s="2">
        <v>17.0591248660682</v>
      </c>
      <c r="E64" s="2">
        <v>53.3269233521613</v>
      </c>
      <c r="F64" s="2">
        <v>87.0130697019565</v>
      </c>
      <c r="G64" s="2">
        <v>109.438216917566</v>
      </c>
      <c r="H64" s="2">
        <v>116.285294460967</v>
      </c>
      <c r="I64" s="2">
        <v>106.299075311848</v>
      </c>
      <c r="J64" s="2">
        <v>81.3685542827516</v>
      </c>
      <c r="K64" s="2">
        <v>50.6408147960911</v>
      </c>
    </row>
    <row r="65">
      <c r="A65" s="2">
        <v>63.0</v>
      </c>
      <c r="B65" s="2">
        <v>63.0</v>
      </c>
      <c r="C65" s="2">
        <v>0.0</v>
      </c>
      <c r="D65" s="2">
        <v>16.7341936916907</v>
      </c>
      <c r="E65" s="2">
        <v>52.9338442808349</v>
      </c>
      <c r="F65" s="2">
        <v>86.7053805453417</v>
      </c>
      <c r="G65" s="2">
        <v>109.300945372841</v>
      </c>
      <c r="H65" s="2">
        <v>116.36269520307</v>
      </c>
      <c r="I65" s="2">
        <v>106.600774492285</v>
      </c>
      <c r="J65" s="2">
        <v>81.8788935142627</v>
      </c>
      <c r="K65" s="2">
        <v>51.4827589829816</v>
      </c>
    </row>
    <row r="66">
      <c r="A66" s="2">
        <v>64.0</v>
      </c>
      <c r="B66" s="2">
        <v>64.0</v>
      </c>
      <c r="C66" s="2">
        <v>0.0</v>
      </c>
      <c r="D66" s="2">
        <v>16.413427529527</v>
      </c>
      <c r="E66" s="2">
        <v>52.5436165020282</v>
      </c>
      <c r="F66" s="2">
        <v>86.3994789045561</v>
      </c>
      <c r="G66" s="2">
        <v>109.164442272023</v>
      </c>
      <c r="H66" s="2">
        <v>116.439969964036</v>
      </c>
      <c r="I66" s="2">
        <v>106.901784002514</v>
      </c>
      <c r="J66" s="2">
        <v>82.3887998926104</v>
      </c>
      <c r="K66" s="2">
        <v>52.3284611047115</v>
      </c>
    </row>
    <row r="67">
      <c r="A67" s="2">
        <v>65.0</v>
      </c>
      <c r="B67" s="2">
        <v>65.0</v>
      </c>
      <c r="C67" s="2">
        <v>0.0</v>
      </c>
      <c r="D67" s="2">
        <v>16.0968154227457</v>
      </c>
      <c r="E67" s="2">
        <v>52.1562504124434</v>
      </c>
      <c r="F67" s="2">
        <v>86.095384421866</v>
      </c>
      <c r="G67" s="2">
        <v>109.028728109458</v>
      </c>
      <c r="H67" s="2">
        <v>116.517132652712</v>
      </c>
      <c r="I67" s="2">
        <v>107.20210374417</v>
      </c>
      <c r="J67" s="2">
        <v>82.8982499086369</v>
      </c>
      <c r="K67" s="2">
        <v>53.1776038242879</v>
      </c>
    </row>
    <row r="68">
      <c r="A68" s="2">
        <v>66.0</v>
      </c>
      <c r="B68" s="2">
        <v>66.0</v>
      </c>
      <c r="C68" s="2">
        <v>0.0</v>
      </c>
      <c r="D68" s="2">
        <v>15.7843457262668</v>
      </c>
      <c r="E68" s="2">
        <v>51.7717560281452</v>
      </c>
      <c r="F68" s="2">
        <v>85.7931165889372</v>
      </c>
      <c r="G68" s="2">
        <v>108.893823435085</v>
      </c>
      <c r="H68" s="2">
        <v>116.594197404968</v>
      </c>
      <c r="I68" s="2">
        <v>107.501733958273</v>
      </c>
      <c r="J68" s="2">
        <v>83.4072204062865</v>
      </c>
      <c r="K68" s="2">
        <v>54.0298815326506</v>
      </c>
    </row>
    <row r="69">
      <c r="A69" s="2">
        <v>67.0</v>
      </c>
      <c r="B69" s="2">
        <v>67.0</v>
      </c>
      <c r="C69" s="2">
        <v>0.0</v>
      </c>
      <c r="D69" s="2">
        <v>15.4760061011089</v>
      </c>
      <c r="E69" s="2">
        <v>51.3901429440796</v>
      </c>
      <c r="F69" s="2">
        <v>85.4926946730817</v>
      </c>
      <c r="G69" s="2">
        <v>108.759748757713</v>
      </c>
      <c r="H69" s="2">
        <v>116.671178478617</v>
      </c>
      <c r="I69" s="2">
        <v>107.800675128053</v>
      </c>
      <c r="J69" s="2">
        <v>83.9156885082681</v>
      </c>
      <c r="K69" s="2">
        <v>54.8849998055166</v>
      </c>
    </row>
    <row r="70">
      <c r="A70" s="2">
        <v>68.0</v>
      </c>
      <c r="B70" s="2">
        <v>68.0</v>
      </c>
      <c r="C70" s="2">
        <v>0.0</v>
      </c>
      <c r="D70" s="2">
        <v>15.171784240816</v>
      </c>
      <c r="E70" s="2">
        <v>51.0114212204961</v>
      </c>
      <c r="F70" s="2">
        <v>85.1941383927706</v>
      </c>
      <c r="G70" s="2">
        <v>108.626524810978</v>
      </c>
      <c r="H70" s="2">
        <v>116.748090010525</v>
      </c>
      <c r="I70" s="2">
        <v>108.098927209451</v>
      </c>
      <c r="J70" s="2">
        <v>84.4236303558481</v>
      </c>
      <c r="K70" s="2">
        <v>55.742672845752</v>
      </c>
    </row>
    <row r="71">
      <c r="A71" s="2">
        <v>69.0</v>
      </c>
      <c r="B71" s="2">
        <v>69.0</v>
      </c>
      <c r="C71" s="2">
        <v>0.0</v>
      </c>
      <c r="D71" s="2">
        <v>14.8716668326258</v>
      </c>
      <c r="E71" s="2">
        <v>50.635600120837</v>
      </c>
      <c r="F71" s="2">
        <v>84.8974669528035</v>
      </c>
      <c r="G71" s="2">
        <v>108.494172167428</v>
      </c>
      <c r="H71" s="2">
        <v>116.824946351489</v>
      </c>
      <c r="I71" s="2">
        <v>108.39649071309</v>
      </c>
      <c r="J71" s="2">
        <v>84.9310228849322</v>
      </c>
      <c r="K71" s="2">
        <v>56.6026259617027</v>
      </c>
    </row>
    <row r="72">
      <c r="A72" s="2">
        <v>70.0</v>
      </c>
      <c r="B72" s="2">
        <v>70.0</v>
      </c>
      <c r="C72" s="2">
        <v>0.0</v>
      </c>
      <c r="D72" s="2">
        <v>14.5756405938677</v>
      </c>
      <c r="E72" s="2">
        <v>50.2626893980967</v>
      </c>
      <c r="F72" s="2">
        <v>84.6027000488044</v>
      </c>
      <c r="G72" s="2">
        <v>108.362711671311</v>
      </c>
      <c r="H72" s="2">
        <v>116.901761777112</v>
      </c>
      <c r="I72" s="2">
        <v>108.693365658443</v>
      </c>
      <c r="J72" s="2">
        <v>85.4378420653868</v>
      </c>
      <c r="K72" s="2">
        <v>57.464592185074</v>
      </c>
    </row>
    <row r="73">
      <c r="A73" s="2">
        <v>71.0</v>
      </c>
      <c r="B73" s="2">
        <v>71.0</v>
      </c>
      <c r="C73" s="2">
        <v>0.0</v>
      </c>
      <c r="D73" s="2">
        <v>14.283691346035</v>
      </c>
      <c r="E73" s="2">
        <v>49.8926981477159</v>
      </c>
      <c r="F73" s="2">
        <v>84.3098569725754</v>
      </c>
      <c r="G73" s="2">
        <v>108.232164055575</v>
      </c>
      <c r="H73" s="2">
        <v>116.978550750922</v>
      </c>
      <c r="I73" s="2">
        <v>108.989552514273</v>
      </c>
      <c r="J73" s="2">
        <v>85.9440644798654</v>
      </c>
      <c r="K73" s="2">
        <v>58.3283145189687</v>
      </c>
    </row>
    <row r="74">
      <c r="A74" s="2">
        <v>72.0</v>
      </c>
      <c r="B74" s="2">
        <v>72.0</v>
      </c>
      <c r="C74" s="2">
        <v>0.0</v>
      </c>
      <c r="D74" s="2">
        <v>13.9958046185935</v>
      </c>
      <c r="E74" s="2">
        <v>49.5256355371889</v>
      </c>
      <c r="F74" s="2">
        <v>84.0189571457619</v>
      </c>
      <c r="G74" s="2">
        <v>108.102550112854</v>
      </c>
      <c r="H74" s="2">
        <v>117.055327654069</v>
      </c>
      <c r="I74" s="2">
        <v>109.285051478958</v>
      </c>
      <c r="J74" s="2">
        <v>86.4496661899024</v>
      </c>
      <c r="K74" s="2">
        <v>59.1935437149879</v>
      </c>
    </row>
    <row r="75">
      <c r="A75" s="2">
        <v>73.0</v>
      </c>
      <c r="B75" s="2">
        <v>73.0</v>
      </c>
      <c r="C75" s="2">
        <v>0.0</v>
      </c>
      <c r="D75" s="2">
        <v>13.7119655582107</v>
      </c>
      <c r="E75" s="2">
        <v>49.161510737128</v>
      </c>
      <c r="F75" s="2">
        <v>83.7300201189855</v>
      </c>
      <c r="G75" s="2">
        <v>107.973890777612</v>
      </c>
      <c r="H75" s="2">
        <v>117.132106947062</v>
      </c>
      <c r="I75" s="2">
        <v>109.579862705345</v>
      </c>
      <c r="J75" s="2">
        <v>86.9546229998296</v>
      </c>
      <c r="K75" s="2">
        <v>60.0600382508631</v>
      </c>
    </row>
    <row r="76">
      <c r="A76" s="2">
        <v>74.0</v>
      </c>
      <c r="B76" s="2">
        <v>74.0</v>
      </c>
      <c r="C76" s="2">
        <v>0.0</v>
      </c>
      <c r="D76" s="2">
        <v>13.4321586200505</v>
      </c>
      <c r="E76" s="2">
        <v>48.8003325045654</v>
      </c>
      <c r="F76" s="2">
        <v>83.4430652073468</v>
      </c>
      <c r="G76" s="2">
        <v>107.846206909859</v>
      </c>
      <c r="H76" s="2">
        <v>117.208903160121</v>
      </c>
      <c r="I76" s="2">
        <v>109.873986523467</v>
      </c>
      <c r="J76" s="2">
        <v>87.4589109135627</v>
      </c>
      <c r="K76" s="2">
        <v>60.9275648391638</v>
      </c>
    </row>
    <row r="77">
      <c r="A77" s="2">
        <v>75.0</v>
      </c>
      <c r="B77" s="2">
        <v>75.0</v>
      </c>
      <c r="C77" s="2">
        <v>0.0</v>
      </c>
      <c r="D77" s="2">
        <v>13.1563679737231</v>
      </c>
      <c r="E77" s="2">
        <v>48.442109726186</v>
      </c>
      <c r="F77" s="2">
        <v>83.1581119493099</v>
      </c>
      <c r="G77" s="2">
        <v>107.719519543104</v>
      </c>
      <c r="H77" s="2">
        <v>117.285730857236</v>
      </c>
      <c r="I77" s="2">
        <v>110.167423092573</v>
      </c>
      <c r="J77" s="2">
        <v>87.9625054749053</v>
      </c>
      <c r="K77" s="2">
        <v>61.7958969155251</v>
      </c>
    </row>
    <row r="78">
      <c r="A78" s="2">
        <v>76.0</v>
      </c>
      <c r="B78" s="2">
        <v>76.0</v>
      </c>
      <c r="C78" s="2">
        <v>0.0</v>
      </c>
      <c r="D78" s="2">
        <v>12.8845771907748</v>
      </c>
      <c r="E78" s="2">
        <v>48.086850982419</v>
      </c>
      <c r="F78" s="2">
        <v>82.8751797078057</v>
      </c>
      <c r="G78" s="2">
        <v>107.593849622715</v>
      </c>
      <c r="H78" s="2">
        <v>117.362604576565</v>
      </c>
      <c r="I78" s="2">
        <v>110.46017257647</v>
      </c>
      <c r="J78" s="2">
        <v>88.4653821861218</v>
      </c>
      <c r="K78" s="2">
        <v>62.6648151554167</v>
      </c>
    </row>
    <row r="79">
      <c r="A79" s="2">
        <v>77.0</v>
      </c>
      <c r="B79" s="2">
        <v>77.0</v>
      </c>
      <c r="C79" s="2">
        <v>0.0</v>
      </c>
      <c r="D79" s="2">
        <v>12.6167692717043</v>
      </c>
      <c r="E79" s="2">
        <v>47.7345646326685</v>
      </c>
      <c r="F79" s="2">
        <v>82.5942878106088</v>
      </c>
      <c r="G79" s="2">
        <v>107.469218184231</v>
      </c>
      <c r="H79" s="2">
        <v>117.439539022082</v>
      </c>
      <c r="I79" s="2">
        <v>110.752235321551</v>
      </c>
      <c r="J79" s="2">
        <v>88.9675166473613</v>
      </c>
      <c r="K79" s="2">
        <v>63.5341072789286</v>
      </c>
    </row>
    <row r="80">
      <c r="A80" s="2">
        <v>78.0</v>
      </c>
      <c r="B80" s="2">
        <v>78.0</v>
      </c>
      <c r="C80" s="2">
        <v>0.0</v>
      </c>
      <c r="D80" s="2">
        <v>12.3529270067319</v>
      </c>
      <c r="E80" s="2">
        <v>47.3852592431106</v>
      </c>
      <c r="F80" s="2">
        <v>82.3154558197838</v>
      </c>
      <c r="G80" s="2">
        <v>107.345646358413</v>
      </c>
      <c r="H80" s="2">
        <v>117.516548763237</v>
      </c>
      <c r="I80" s="2">
        <v>111.043611258336</v>
      </c>
      <c r="J80" s="2">
        <v>89.4688836898976</v>
      </c>
      <c r="K80" s="2">
        <v>64.4035664188074</v>
      </c>
    </row>
    <row r="81">
      <c r="A81" s="2">
        <v>79.0</v>
      </c>
      <c r="B81" s="2">
        <v>79.0</v>
      </c>
      <c r="C81" s="2">
        <v>0.0</v>
      </c>
      <c r="D81" s="2">
        <v>12.0930325128692</v>
      </c>
      <c r="E81" s="2">
        <v>47.0389430213246</v>
      </c>
      <c r="F81" s="2">
        <v>82.0387031370701</v>
      </c>
      <c r="G81" s="2">
        <v>107.223155284622</v>
      </c>
      <c r="H81" s="2">
        <v>117.593648517688</v>
      </c>
      <c r="I81" s="2">
        <v>111.334300556438</v>
      </c>
      <c r="J81" s="2">
        <v>89.9694583732497</v>
      </c>
      <c r="K81" s="2">
        <v>65.2729924692386</v>
      </c>
    </row>
    <row r="82">
      <c r="A82" s="2">
        <v>80.0</v>
      </c>
      <c r="B82" s="2">
        <v>80.0</v>
      </c>
      <c r="C82" s="2">
        <v>0.0</v>
      </c>
      <c r="D82" s="2">
        <v>11.8370674106347</v>
      </c>
      <c r="E82" s="2">
        <v>46.6956240032024</v>
      </c>
      <c r="F82" s="2">
        <v>81.7640490874062</v>
      </c>
      <c r="G82" s="2">
        <v>107.101766044119</v>
      </c>
      <c r="H82" s="2">
        <v>117.670852923636</v>
      </c>
      <c r="I82" s="2">
        <v>111.624303250759</v>
      </c>
      <c r="J82" s="2">
        <v>90.4692154901083</v>
      </c>
      <c r="K82" s="2">
        <v>66.1421911134334</v>
      </c>
    </row>
    <row r="83">
      <c r="A83" s="2">
        <v>81.0</v>
      </c>
      <c r="B83" s="2">
        <v>81.0</v>
      </c>
      <c r="C83" s="2">
        <v>0.0</v>
      </c>
      <c r="D83" s="2">
        <v>11.5850128504076</v>
      </c>
      <c r="E83" s="2">
        <v>46.3553101548233</v>
      </c>
      <c r="F83" s="2">
        <v>81.4915130930001</v>
      </c>
      <c r="G83" s="2">
        <v>106.981499884685</v>
      </c>
      <c r="H83" s="2">
        <v>117.748176783653</v>
      </c>
      <c r="I83" s="2">
        <v>111.913619469715</v>
      </c>
      <c r="J83" s="2">
        <v>90.9681297458626</v>
      </c>
      <c r="K83" s="2">
        <v>67.0109737086385</v>
      </c>
    </row>
    <row r="84">
      <c r="A84" s="2">
        <v>82.0</v>
      </c>
      <c r="B84" s="2">
        <v>82.0</v>
      </c>
      <c r="C84" s="2">
        <v>0.0</v>
      </c>
      <c r="D84" s="2">
        <v>11.3368495754723</v>
      </c>
      <c r="E84" s="2">
        <v>46.0180093875225</v>
      </c>
      <c r="F84" s="2">
        <v>81.2211145794482</v>
      </c>
      <c r="G84" s="2">
        <v>106.862378009031</v>
      </c>
      <c r="H84" s="2">
        <v>117.82563475367</v>
      </c>
      <c r="I84" s="2">
        <v>112.202249058989</v>
      </c>
      <c r="J84" s="2">
        <v>91.4661753521508</v>
      </c>
      <c r="K84" s="2">
        <v>67.8791565709848</v>
      </c>
    </row>
    <row r="85">
      <c r="A85" s="2">
        <v>83.0</v>
      </c>
      <c r="B85" s="2">
        <v>83.0</v>
      </c>
      <c r="C85" s="2">
        <v>0.0</v>
      </c>
      <c r="D85" s="2">
        <v>11.0925577610493</v>
      </c>
      <c r="E85" s="2">
        <v>45.6837293976713</v>
      </c>
      <c r="F85" s="2">
        <v>80.9528729270137</v>
      </c>
      <c r="G85" s="2">
        <v>106.744421680502</v>
      </c>
      <c r="H85" s="2">
        <v>117.903241609164</v>
      </c>
      <c r="I85" s="2">
        <v>112.490191988729</v>
      </c>
      <c r="J85" s="2">
        <v>91.9633265445626</v>
      </c>
      <c r="K85" s="2">
        <v>68.7465614987053</v>
      </c>
    </row>
    <row r="86">
      <c r="A86" s="2">
        <v>84.0</v>
      </c>
      <c r="B86" s="2">
        <v>84.0</v>
      </c>
      <c r="C86" s="2">
        <v>0.0</v>
      </c>
      <c r="D86" s="2">
        <v>10.8521171003652</v>
      </c>
      <c r="E86" s="2">
        <v>45.3524777613133</v>
      </c>
      <c r="F86" s="2">
        <v>80.6868075141601</v>
      </c>
      <c r="G86" s="2">
        <v>106.627652190831</v>
      </c>
      <c r="H86" s="2">
        <v>117.98101213101</v>
      </c>
      <c r="I86" s="2">
        <v>112.777448164264</v>
      </c>
      <c r="J86" s="2">
        <v>92.4595573286634</v>
      </c>
      <c r="K86" s="2">
        <v>69.6130151924125</v>
      </c>
    </row>
    <row r="87">
      <c r="A87" s="2">
        <v>85.0</v>
      </c>
      <c r="B87" s="2">
        <v>85.0</v>
      </c>
      <c r="C87" s="2">
        <v>0.0</v>
      </c>
      <c r="D87" s="2">
        <v>10.6155069785756</v>
      </c>
      <c r="E87" s="2">
        <v>45.0242621683533</v>
      </c>
      <c r="F87" s="2">
        <v>80.422937891925</v>
      </c>
      <c r="G87" s="2">
        <v>106.512090913742</v>
      </c>
      <c r="H87" s="2">
        <v>118.058961008656</v>
      </c>
      <c r="I87" s="2">
        <v>113.064017172538</v>
      </c>
      <c r="J87" s="2">
        <v>92.9548410724633</v>
      </c>
      <c r="K87" s="2">
        <v>70.4783483775852</v>
      </c>
    </row>
    <row r="88">
      <c r="A88" s="2">
        <v>86.0</v>
      </c>
      <c r="B88" s="2">
        <v>86.0</v>
      </c>
      <c r="C88" s="2">
        <v>0.0</v>
      </c>
      <c r="D88" s="2">
        <v>10.3827059540718</v>
      </c>
      <c r="E88" s="2">
        <v>44.6990897322662</v>
      </c>
      <c r="F88" s="2">
        <v>80.161283268275</v>
      </c>
      <c r="G88" s="2">
        <v>106.397759142173</v>
      </c>
      <c r="H88" s="2">
        <v>118.137103117845</v>
      </c>
      <c r="I88" s="2">
        <v>113.349899019195</v>
      </c>
      <c r="J88" s="2">
        <v>93.4491516876856</v>
      </c>
      <c r="K88" s="2">
        <v>71.3423976015858</v>
      </c>
    </row>
    <row r="89">
      <c r="A89" s="2">
        <v>87.0</v>
      </c>
      <c r="B89" s="2">
        <v>87.0</v>
      </c>
      <c r="C89" s="2">
        <v>0.0</v>
      </c>
      <c r="D89" s="2">
        <v>10.1536924510412</v>
      </c>
      <c r="E89" s="2">
        <v>44.3769679086115</v>
      </c>
      <c r="F89" s="2">
        <v>79.9018631830496</v>
      </c>
      <c r="G89" s="2">
        <v>106.284678281443</v>
      </c>
      <c r="H89" s="2">
        <v>118.215453117614</v>
      </c>
      <c r="I89" s="2">
        <v>113.635093107909</v>
      </c>
      <c r="J89" s="2">
        <v>93.9424620110634</v>
      </c>
      <c r="K89" s="2">
        <v>72.2050023610991</v>
      </c>
    </row>
    <row r="90">
      <c r="A90" s="2">
        <v>88.0</v>
      </c>
      <c r="B90" s="2">
        <v>88.0</v>
      </c>
      <c r="C90" s="2">
        <v>0.0</v>
      </c>
      <c r="D90" s="2">
        <v>9.92844407965328</v>
      </c>
      <c r="E90" s="2">
        <v>44.0579035937742</v>
      </c>
      <c r="F90" s="2">
        <v>79.6446968517943</v>
      </c>
      <c r="G90" s="2">
        <v>106.172869674015</v>
      </c>
      <c r="H90" s="2">
        <v>118.294025868302</v>
      </c>
      <c r="I90" s="2">
        <v>113.919599271435</v>
      </c>
      <c r="J90" s="2">
        <v>94.4347454250812</v>
      </c>
      <c r="K90" s="2">
        <v>73.066007622852</v>
      </c>
    </row>
    <row r="91">
      <c r="A91" s="2">
        <v>89.0</v>
      </c>
      <c r="B91" s="2">
        <v>89.0</v>
      </c>
      <c r="C91" s="2">
        <v>0.0</v>
      </c>
      <c r="D91" s="2">
        <v>9.70693823399896</v>
      </c>
      <c r="E91" s="2">
        <v>43.7419039310031</v>
      </c>
      <c r="F91" s="2">
        <v>79.3898037651595</v>
      </c>
      <c r="G91" s="2">
        <v>106.062354780901</v>
      </c>
      <c r="H91" s="2">
        <v>118.372836091869</v>
      </c>
      <c r="I91" s="2">
        <v>114.203416888712</v>
      </c>
      <c r="J91" s="2">
        <v>94.9259744441861</v>
      </c>
      <c r="K91" s="2">
        <v>73.9252612942922</v>
      </c>
    </row>
    <row r="92">
      <c r="A92" s="2">
        <v>90.0</v>
      </c>
      <c r="B92" s="2">
        <v>90.0</v>
      </c>
      <c r="C92" s="2">
        <v>0.0</v>
      </c>
      <c r="D92" s="2">
        <v>9.48915175376361</v>
      </c>
      <c r="E92" s="2">
        <v>43.4289758523881</v>
      </c>
      <c r="F92" s="2">
        <v>79.1372033440953</v>
      </c>
      <c r="G92" s="2">
        <v>105.953155070108</v>
      </c>
      <c r="H92" s="2">
        <v>118.451898553265</v>
      </c>
      <c r="I92" s="2">
        <v>114.486545373193</v>
      </c>
      <c r="J92" s="2">
        <v>95.4161215017062</v>
      </c>
      <c r="K92" s="2">
        <v>74.7826153960832</v>
      </c>
    </row>
    <row r="93">
      <c r="A93" s="2">
        <v>91.0</v>
      </c>
      <c r="B93" s="2">
        <v>91.0</v>
      </c>
      <c r="C93" s="2">
        <v>0.0</v>
      </c>
      <c r="D93" s="2">
        <v>9.27506101128131</v>
      </c>
      <c r="E93" s="2">
        <v>43.1191261931417</v>
      </c>
      <c r="F93" s="2">
        <v>78.8869150198563</v>
      </c>
      <c r="G93" s="2">
        <v>105.845292032257</v>
      </c>
      <c r="H93" s="2">
        <v>118.531227998149</v>
      </c>
      <c r="I93" s="2">
        <v>114.768984031188</v>
      </c>
      <c r="J93" s="2">
        <v>95.9051587306998</v>
      </c>
      <c r="K93" s="2">
        <v>75.6379255573588</v>
      </c>
    </row>
    <row r="94">
      <c r="A94" s="2">
        <v>92.0</v>
      </c>
      <c r="B94" s="2">
        <v>92.0</v>
      </c>
      <c r="C94" s="2">
        <v>0.0</v>
      </c>
      <c r="D94" s="2">
        <v>9.06464174959254</v>
      </c>
      <c r="E94" s="2">
        <v>42.8123614480043</v>
      </c>
      <c r="F94" s="2">
        <v>78.6389580271404</v>
      </c>
      <c r="G94" s="2">
        <v>105.73878707586</v>
      </c>
      <c r="H94" s="2">
        <v>118.610839187926</v>
      </c>
      <c r="I94" s="2">
        <v>115.050732252748</v>
      </c>
      <c r="J94" s="2">
        <v>96.3930583155188</v>
      </c>
      <c r="K94" s="2">
        <v>76.4910515109383</v>
      </c>
    </row>
    <row r="95">
      <c r="A95" s="2">
        <v>93.0</v>
      </c>
      <c r="B95" s="2">
        <v>93.0</v>
      </c>
      <c r="C95" s="2">
        <v>0.0</v>
      </c>
      <c r="D95" s="2">
        <v>8.85786941877494</v>
      </c>
      <c r="E95" s="2">
        <v>42.5086882617528</v>
      </c>
      <c r="F95" s="2">
        <v>78.3933518061388</v>
      </c>
      <c r="G95" s="2">
        <v>105.633661710301</v>
      </c>
      <c r="H95" s="2">
        <v>118.690746791945</v>
      </c>
      <c r="I95" s="2">
        <v>115.331789086062</v>
      </c>
      <c r="J95" s="2">
        <v>96.8797917391083</v>
      </c>
      <c r="K95" s="2">
        <v>77.3418556305041</v>
      </c>
    </row>
    <row r="96">
      <c r="A96" s="2">
        <v>94.0</v>
      </c>
      <c r="B96" s="2">
        <v>94.0</v>
      </c>
      <c r="C96" s="2">
        <v>0.0</v>
      </c>
      <c r="D96" s="2">
        <v>8.6547189370619</v>
      </c>
      <c r="E96" s="2">
        <v>42.2081131016848</v>
      </c>
      <c r="F96" s="2">
        <v>78.1501157663169</v>
      </c>
      <c r="G96" s="2">
        <v>105.529937490617</v>
      </c>
      <c r="H96" s="2">
        <v>118.770965555748</v>
      </c>
      <c r="I96" s="2">
        <v>115.612153636954</v>
      </c>
      <c r="J96" s="2">
        <v>97.3653304062633</v>
      </c>
      <c r="K96" s="2">
        <v>78.1902038329194</v>
      </c>
    </row>
    <row r="97">
      <c r="A97" s="2">
        <v>95.0</v>
      </c>
      <c r="B97" s="2">
        <v>95.0</v>
      </c>
      <c r="C97" s="2">
        <v>0.0</v>
      </c>
      <c r="D97" s="2">
        <v>8.4551647682328</v>
      </c>
      <c r="E97" s="2">
        <v>41.9106423358961</v>
      </c>
      <c r="F97" s="2">
        <v>77.9092693013431</v>
      </c>
      <c r="G97" s="2">
        <v>105.427635945582</v>
      </c>
      <c r="H97" s="2">
        <v>118.851510140129</v>
      </c>
      <c r="I97" s="2">
        <v>115.891824830617</v>
      </c>
      <c r="J97" s="2">
        <v>97.8496453414318</v>
      </c>
      <c r="K97" s="2">
        <v>79.035965027611</v>
      </c>
    </row>
    <row r="98">
      <c r="A98" s="2">
        <v>96.0</v>
      </c>
      <c r="B98" s="2">
        <v>96.0</v>
      </c>
      <c r="C98" s="2">
        <v>0.0</v>
      </c>
      <c r="D98" s="2">
        <v>8.25918084958442</v>
      </c>
      <c r="E98" s="2">
        <v>41.6162821281809</v>
      </c>
      <c r="F98" s="2">
        <v>77.6708317112066</v>
      </c>
      <c r="G98" s="2">
        <v>105.326778557228</v>
      </c>
      <c r="H98" s="2">
        <v>118.932395172925</v>
      </c>
      <c r="I98" s="2">
        <v>116.170801539345</v>
      </c>
      <c r="J98" s="2">
        <v>98.332707390433</v>
      </c>
      <c r="K98" s="2">
        <v>79.8790113354949</v>
      </c>
    </row>
    <row r="99">
      <c r="A99" s="2">
        <v>97.0</v>
      </c>
      <c r="B99" s="2">
        <v>97.0</v>
      </c>
      <c r="C99" s="2">
        <v>0.0</v>
      </c>
      <c r="D99" s="2">
        <v>8.06674068477495</v>
      </c>
      <c r="E99" s="2">
        <v>41.325038596374</v>
      </c>
      <c r="F99" s="2">
        <v>77.4348223659003</v>
      </c>
      <c r="G99" s="2">
        <v>105.227386889778</v>
      </c>
      <c r="H99" s="2">
        <v>119.0136353139</v>
      </c>
      <c r="I99" s="2">
        <v>116.44908256364</v>
      </c>
      <c r="J99" s="2">
        <v>98.8144871019874</v>
      </c>
      <c r="K99" s="2">
        <v>80.719217694194</v>
      </c>
    </row>
    <row r="100">
      <c r="A100" s="2">
        <v>98.0</v>
      </c>
      <c r="B100" s="2">
        <v>98.0</v>
      </c>
      <c r="C100" s="2">
        <v>0.0</v>
      </c>
      <c r="D100" s="2">
        <v>7.87781741618632</v>
      </c>
      <c r="E100" s="2">
        <v>41.0369178905738</v>
      </c>
      <c r="F100" s="2">
        <v>77.2012607226325</v>
      </c>
      <c r="G100" s="2">
        <v>105.129482520735</v>
      </c>
      <c r="H100" s="2">
        <v>119.095245096221</v>
      </c>
      <c r="I100" s="2">
        <v>116.726666394413</v>
      </c>
      <c r="J100" s="2">
        <v>99.2949544216458</v>
      </c>
      <c r="K100" s="2">
        <v>81.5564613125274</v>
      </c>
    </row>
    <row r="101">
      <c r="A101" s="2">
        <v>99.0</v>
      </c>
      <c r="B101" s="2">
        <v>99.0</v>
      </c>
      <c r="C101" s="2">
        <v>0.0</v>
      </c>
      <c r="D101" s="2">
        <v>7.69238352942464</v>
      </c>
      <c r="E101" s="2">
        <v>40.7519257594171</v>
      </c>
      <c r="F101" s="2">
        <v>76.9701660048865</v>
      </c>
      <c r="G101" s="2">
        <v>105.033086957943</v>
      </c>
      <c r="H101" s="2">
        <v>119.177239142669</v>
      </c>
      <c r="I101" s="2">
        <v>117.003551743582</v>
      </c>
      <c r="J101" s="2">
        <v>99.7740795357525</v>
      </c>
      <c r="K101" s="2">
        <v>82.3906229728649</v>
      </c>
    </row>
    <row r="102">
      <c r="A102" s="2">
        <v>100.0</v>
      </c>
      <c r="B102" s="2">
        <v>100.0</v>
      </c>
      <c r="C102" s="2">
        <v>0.0</v>
      </c>
      <c r="D102" s="2">
        <v>7.51041131409927</v>
      </c>
      <c r="E102" s="2">
        <v>40.4700682293649</v>
      </c>
      <c r="F102" s="2">
        <v>76.7415577218502</v>
      </c>
      <c r="G102" s="2">
        <v>104.938221806244</v>
      </c>
      <c r="H102" s="2">
        <v>119.259631882011</v>
      </c>
      <c r="I102" s="2">
        <v>117.279736781442</v>
      </c>
      <c r="J102" s="2">
        <v>100.251831621749</v>
      </c>
      <c r="K102" s="2">
        <v>83.2215848184465</v>
      </c>
    </row>
    <row r="103">
      <c r="A103" s="2">
        <v>101.0</v>
      </c>
      <c r="B103" s="2">
        <v>101.0</v>
      </c>
      <c r="C103" s="2">
        <v>0.0</v>
      </c>
      <c r="D103" s="2">
        <v>7.3318723428362</v>
      </c>
      <c r="E103" s="2">
        <v>40.1913508086899</v>
      </c>
      <c r="F103" s="2">
        <v>76.5154550383714</v>
      </c>
      <c r="G103" s="2">
        <v>104.844908531588</v>
      </c>
      <c r="H103" s="2">
        <v>119.342437827353</v>
      </c>
      <c r="I103" s="2">
        <v>117.555219970825</v>
      </c>
      <c r="J103" s="2">
        <v>100.728180252463</v>
      </c>
      <c r="K103" s="2">
        <v>84.0492326689578</v>
      </c>
    </row>
    <row r="104">
      <c r="A104" s="2">
        <v>102.0</v>
      </c>
      <c r="B104" s="2">
        <v>102.0</v>
      </c>
      <c r="C104" s="2">
        <v>0.0</v>
      </c>
      <c r="D104" s="2">
        <v>7.15673800852663</v>
      </c>
      <c r="E104" s="2">
        <v>39.9157793262436</v>
      </c>
      <c r="F104" s="2">
        <v>76.2918774744481</v>
      </c>
      <c r="G104" s="2">
        <v>104.753168784623</v>
      </c>
      <c r="H104" s="2">
        <v>119.42567139177</v>
      </c>
      <c r="I104" s="2">
        <v>117.829999319871</v>
      </c>
      <c r="J104" s="2">
        <v>101.20309405557</v>
      </c>
      <c r="K104" s="2">
        <v>84.8734535555846</v>
      </c>
    </row>
    <row r="105">
      <c r="A105" s="2">
        <v>103.0</v>
      </c>
      <c r="B105" s="2">
        <v>103.0</v>
      </c>
      <c r="C105" s="2">
        <v>0.0</v>
      </c>
      <c r="D105" s="2">
        <v>6.98497907661106</v>
      </c>
      <c r="E105" s="2">
        <v>39.6433591952394</v>
      </c>
      <c r="F105" s="2">
        <v>76.0708442574867</v>
      </c>
      <c r="G105" s="2">
        <v>104.663024049962</v>
      </c>
      <c r="H105" s="2">
        <v>119.509346958265</v>
      </c>
      <c r="I105" s="2">
        <v>118.104072932589</v>
      </c>
      <c r="J105" s="2">
        <v>101.67654178062</v>
      </c>
      <c r="K105" s="2">
        <v>85.6941375903466</v>
      </c>
    </row>
    <row r="106">
      <c r="A106" s="2">
        <v>104.0</v>
      </c>
      <c r="B106" s="2">
        <v>104.0</v>
      </c>
      <c r="C106" s="2">
        <v>0.0</v>
      </c>
      <c r="D106" s="2">
        <v>6.81656599425761</v>
      </c>
      <c r="E106" s="2">
        <v>39.3740959065291</v>
      </c>
      <c r="F106" s="2">
        <v>75.8523747471745</v>
      </c>
      <c r="G106" s="2">
        <v>104.57449586393</v>
      </c>
      <c r="H106" s="2">
        <v>119.593478810085</v>
      </c>
      <c r="I106" s="2">
        <v>118.377438614924</v>
      </c>
      <c r="J106" s="2">
        <v>102.148491557061</v>
      </c>
      <c r="K106" s="2">
        <v>86.5111765394045</v>
      </c>
    </row>
    <row r="107">
      <c r="A107" s="2">
        <v>105.0</v>
      </c>
      <c r="B107" s="2">
        <v>105.0</v>
      </c>
      <c r="C107" s="2">
        <v>0.0</v>
      </c>
      <c r="D107" s="2">
        <v>6.65146868303878</v>
      </c>
      <c r="E107" s="2">
        <v>39.1079946977148</v>
      </c>
      <c r="F107" s="2">
        <v>75.636488175472</v>
      </c>
      <c r="G107" s="2">
        <v>104.487605724349</v>
      </c>
      <c r="H107" s="2">
        <v>119.678081261871</v>
      </c>
      <c r="I107" s="2">
        <v>118.650094245169</v>
      </c>
      <c r="J107" s="2">
        <v>102.61891151106</v>
      </c>
      <c r="K107" s="2">
        <v>87.3244647907558</v>
      </c>
    </row>
    <row r="108">
      <c r="A108" s="2">
        <v>106.0</v>
      </c>
      <c r="B108" s="2">
        <v>106.0</v>
      </c>
      <c r="C108" s="2">
        <v>0.0</v>
      </c>
      <c r="D108" s="2">
        <v>6.48965689975029</v>
      </c>
      <c r="E108" s="2">
        <v>38.8450611112195</v>
      </c>
      <c r="F108" s="2">
        <v>75.4232040758648</v>
      </c>
      <c r="G108" s="2">
        <v>104.40237522539</v>
      </c>
      <c r="H108" s="2">
        <v>119.763168415876</v>
      </c>
      <c r="I108" s="2">
        <v>118.922037124661</v>
      </c>
      <c r="J108" s="2">
        <v>103.087768696514</v>
      </c>
      <c r="K108" s="2">
        <v>88.1338974732589</v>
      </c>
    </row>
    <row r="109">
      <c r="A109" s="2">
        <v>107.0</v>
      </c>
      <c r="B109" s="2">
        <v>107.0</v>
      </c>
      <c r="C109" s="2">
        <v>0.0</v>
      </c>
      <c r="D109" s="2">
        <v>6.33109968215785</v>
      </c>
      <c r="E109" s="2">
        <v>38.585300095384</v>
      </c>
      <c r="F109" s="2">
        <v>75.2125415626538</v>
      </c>
      <c r="G109" s="2">
        <v>104.318825784358</v>
      </c>
      <c r="H109" s="2">
        <v>119.848754479594</v>
      </c>
      <c r="I109" s="2">
        <v>119.193264940201</v>
      </c>
      <c r="J109" s="2">
        <v>103.555030731893</v>
      </c>
      <c r="K109" s="2">
        <v>88.9393731893267</v>
      </c>
    </row>
    <row r="110">
      <c r="A110" s="2">
        <v>108.0</v>
      </c>
      <c r="B110" s="2">
        <v>108.0</v>
      </c>
      <c r="C110" s="2">
        <v>0.0</v>
      </c>
      <c r="D110" s="2">
        <v>6.17576578474643</v>
      </c>
      <c r="E110" s="2">
        <v>38.3287166886705</v>
      </c>
      <c r="F110" s="2">
        <v>75.0045198744319</v>
      </c>
      <c r="G110" s="2">
        <v>104.236978843072</v>
      </c>
      <c r="H110" s="2">
        <v>119.934853518908</v>
      </c>
      <c r="I110" s="2">
        <v>119.46377503063</v>
      </c>
      <c r="J110" s="2">
        <v>104.020664558203</v>
      </c>
      <c r="K110" s="2">
        <v>89.7407918147764</v>
      </c>
    </row>
    <row r="111">
      <c r="A111" s="2">
        <v>109.0</v>
      </c>
      <c r="B111" s="2">
        <v>109.0</v>
      </c>
      <c r="C111" s="2">
        <v>0.0</v>
      </c>
      <c r="D111" s="2">
        <v>6.02362375400717</v>
      </c>
      <c r="E111" s="2">
        <v>38.0753161569732</v>
      </c>
      <c r="F111" s="2">
        <v>74.7991585080429</v>
      </c>
      <c r="G111" s="2">
        <v>104.1568559589</v>
      </c>
      <c r="H111" s="2">
        <v>120.021479480014</v>
      </c>
      <c r="I111" s="2">
        <v>119.733564323577</v>
      </c>
      <c r="J111" s="2">
        <v>104.484636275177</v>
      </c>
      <c r="K111" s="2">
        <v>90.5380541017065</v>
      </c>
    </row>
    <row r="112">
      <c r="A112" s="2">
        <v>110.0</v>
      </c>
      <c r="B112" s="2">
        <v>110.0</v>
      </c>
      <c r="C112" s="2">
        <v>0.0</v>
      </c>
      <c r="D112" s="2">
        <v>5.87464145803622</v>
      </c>
      <c r="E112" s="2">
        <v>37.8251031743879</v>
      </c>
      <c r="F112" s="2">
        <v>74.5964765126437</v>
      </c>
      <c r="G112" s="2">
        <v>104.078478459263</v>
      </c>
      <c r="H112" s="2">
        <v>120.108646346336</v>
      </c>
      <c r="I112" s="2">
        <v>120.002630061336</v>
      </c>
      <c r="J112" s="2">
        <v>104.946912483225</v>
      </c>
      <c r="K112" s="2">
        <v>91.3310639993038</v>
      </c>
    </row>
    <row r="113">
      <c r="A113" s="2">
        <v>111.0</v>
      </c>
      <c r="B113" s="2">
        <v>111.0</v>
      </c>
      <c r="C113" s="2">
        <v>0.0</v>
      </c>
      <c r="D113" s="2">
        <v>5.7287866452481</v>
      </c>
      <c r="E113" s="2">
        <v>37.5780827544476</v>
      </c>
      <c r="F113" s="2">
        <v>74.3964932670552</v>
      </c>
      <c r="G113" s="2">
        <v>104.001867786366</v>
      </c>
      <c r="H113" s="2">
        <v>120.196367895759</v>
      </c>
      <c r="I113" s="2">
        <v>120.270968903983</v>
      </c>
      <c r="J113" s="2">
        <v>105.407458684829</v>
      </c>
      <c r="K113" s="2">
        <v>92.1197257906286</v>
      </c>
    </row>
    <row r="114">
      <c r="A114" s="2">
        <v>112.0</v>
      </c>
      <c r="B114" s="2">
        <v>112.0</v>
      </c>
      <c r="C114" s="2">
        <v>0.0</v>
      </c>
      <c r="D114" s="2">
        <v>5.58602655122375</v>
      </c>
      <c r="E114" s="2">
        <v>37.3342595726797</v>
      </c>
      <c r="F114" s="2">
        <v>74.1992279192176</v>
      </c>
      <c r="G114" s="2">
        <v>103.927045261927</v>
      </c>
      <c r="H114" s="2">
        <v>120.284657905062</v>
      </c>
      <c r="I114" s="2">
        <v>120.538577621849</v>
      </c>
      <c r="J114" s="2">
        <v>105.866240498038</v>
      </c>
      <c r="K114" s="2">
        <v>92.903946132207</v>
      </c>
    </row>
    <row r="115">
      <c r="A115" s="2">
        <v>113.0</v>
      </c>
      <c r="B115" s="2">
        <v>113.0</v>
      </c>
      <c r="C115" s="2">
        <v>0.0</v>
      </c>
      <c r="D115" s="2">
        <v>5.4463281786347</v>
      </c>
      <c r="E115" s="2">
        <v>37.0936384302236</v>
      </c>
      <c r="F115" s="2">
        <v>74.0046997690973</v>
      </c>
      <c r="G115" s="2">
        <v>103.854032249851</v>
      </c>
      <c r="H115" s="2">
        <v>120.373530015742</v>
      </c>
      <c r="I115" s="2">
        <v>120.805452632394</v>
      </c>
      <c r="J115" s="2">
        <v>106.323222840289</v>
      </c>
      <c r="K115" s="2">
        <v>93.6836325746203</v>
      </c>
    </row>
    <row r="116">
      <c r="A116" s="2">
        <v>114.0</v>
      </c>
      <c r="B116" s="2">
        <v>114.0</v>
      </c>
      <c r="C116" s="2">
        <v>0.0</v>
      </c>
      <c r="D116" s="2">
        <v>5.30965811273083</v>
      </c>
      <c r="E116" s="2">
        <v>36.8562239190242</v>
      </c>
      <c r="F116" s="2">
        <v>73.812927988129</v>
      </c>
      <c r="G116" s="2">
        <v>103.782850035628</v>
      </c>
      <c r="H116" s="2">
        <v>120.462997832006</v>
      </c>
      <c r="I116" s="2">
        <v>121.071590342696</v>
      </c>
      <c r="J116" s="2">
        <v>106.77837053405</v>
      </c>
      <c r="K116" s="2">
        <v>94.4586945536449</v>
      </c>
    </row>
    <row r="117">
      <c r="A117" s="2">
        <v>115.0</v>
      </c>
      <c r="B117" s="2">
        <v>115.0</v>
      </c>
      <c r="C117" s="2">
        <v>0.0</v>
      </c>
      <c r="D117" s="2">
        <v>5.17598260098644</v>
      </c>
      <c r="E117" s="2">
        <v>36.6220205291037</v>
      </c>
      <c r="F117" s="2">
        <v>73.6239316890126</v>
      </c>
      <c r="G117" s="2">
        <v>103.71351982706</v>
      </c>
      <c r="H117" s="2">
        <v>120.553074839055</v>
      </c>
      <c r="I117" s="2">
        <v>121.336986984384</v>
      </c>
      <c r="J117" s="2">
        <v>107.231648058659</v>
      </c>
      <c r="K117" s="2">
        <v>95.2290429360596</v>
      </c>
    </row>
    <row r="118">
      <c r="A118" s="2">
        <v>116.0</v>
      </c>
      <c r="B118" s="2">
        <v>116.0</v>
      </c>
      <c r="C118" s="2">
        <v>0.0</v>
      </c>
      <c r="D118" s="2">
        <v>5.04526769587719</v>
      </c>
      <c r="E118" s="2">
        <v>36.3910329018502</v>
      </c>
      <c r="F118" s="2">
        <v>73.4377301587997</v>
      </c>
      <c r="G118" s="2">
        <v>103.646062892313</v>
      </c>
      <c r="H118" s="2">
        <v>120.643774399788</v>
      </c>
      <c r="I118" s="2">
        <v>121.60163844363</v>
      </c>
      <c r="J118" s="2">
        <v>107.68301919121</v>
      </c>
      <c r="K118" s="2">
        <v>95.9945892926926</v>
      </c>
    </row>
    <row r="119">
      <c r="A119" s="2">
        <v>117.0</v>
      </c>
      <c r="B119" s="2">
        <v>117.0</v>
      </c>
      <c r="C119" s="2">
        <v>0.0</v>
      </c>
      <c r="D119" s="2">
        <v>4.91747901313368</v>
      </c>
      <c r="E119" s="2">
        <v>36.1632653581348</v>
      </c>
      <c r="F119" s="2">
        <v>73.2543424302113</v>
      </c>
      <c r="G119" s="2">
        <v>103.58050032272</v>
      </c>
      <c r="H119" s="2">
        <v>120.7351097985</v>
      </c>
      <c r="I119" s="2">
        <v>121.865540633443</v>
      </c>
      <c r="J119" s="2">
        <v>108.132447747134</v>
      </c>
      <c r="K119" s="2">
        <v>96.7552471914072</v>
      </c>
    </row>
    <row r="120">
      <c r="A120" s="2">
        <v>118.0</v>
      </c>
      <c r="B120" s="2">
        <v>118.0</v>
      </c>
      <c r="C120" s="2">
        <v>0.0</v>
      </c>
      <c r="D120" s="2">
        <v>4.79258200207624</v>
      </c>
      <c r="E120" s="2">
        <v>35.9387223830321</v>
      </c>
      <c r="F120" s="2">
        <v>73.0737877145082</v>
      </c>
      <c r="G120" s="2">
        <v>103.516853266737</v>
      </c>
      <c r="H120" s="2">
        <v>120.827094188221</v>
      </c>
      <c r="I120" s="2">
        <v>122.128689109263</v>
      </c>
      <c r="J120" s="2">
        <v>108.579896825405</v>
      </c>
      <c r="K120" s="2">
        <v>97.5109307753926</v>
      </c>
    </row>
    <row r="121">
      <c r="A121" s="2">
        <v>119.0</v>
      </c>
      <c r="B121" s="2">
        <v>119.0</v>
      </c>
      <c r="C121" s="2">
        <v>0.0</v>
      </c>
      <c r="D121" s="2">
        <v>4.67054171068646</v>
      </c>
      <c r="E121" s="2">
        <v>35.7174081553976</v>
      </c>
      <c r="F121" s="2">
        <v>72.8960849717515</v>
      </c>
      <c r="G121" s="2">
        <v>103.455142690556</v>
      </c>
      <c r="H121" s="2">
        <v>120.919740632195</v>
      </c>
      <c r="I121" s="2">
        <v>122.391079440266</v>
      </c>
      <c r="J121" s="2">
        <v>109.025329551804</v>
      </c>
      <c r="K121" s="2">
        <v>98.2615560632054</v>
      </c>
    </row>
    <row r="122">
      <c r="A122" s="2">
        <v>120.0</v>
      </c>
      <c r="B122" s="2">
        <v>120.0</v>
      </c>
      <c r="C122" s="2">
        <v>0.0</v>
      </c>
      <c r="D122" s="2">
        <v>4.55132305169625</v>
      </c>
      <c r="E122" s="2">
        <v>35.4993270389483</v>
      </c>
      <c r="F122" s="2">
        <v>72.7212533600376</v>
      </c>
      <c r="G122" s="2">
        <v>103.395389635898</v>
      </c>
      <c r="H122" s="2">
        <v>121.013062078814</v>
      </c>
      <c r="I122" s="2">
        <v>122.652706851834</v>
      </c>
      <c r="J122" s="2">
        <v>109.468708345211</v>
      </c>
      <c r="K122" s="2">
        <v>99.0070395476555</v>
      </c>
    </row>
    <row r="123">
      <c r="A123" s="2">
        <v>121.0</v>
      </c>
      <c r="B123" s="2">
        <v>121.0</v>
      </c>
      <c r="C123" s="2">
        <v>0.0</v>
      </c>
      <c r="D123" s="2">
        <v>4.43489069144024</v>
      </c>
      <c r="E123" s="2">
        <v>35.2844833355152</v>
      </c>
      <c r="F123" s="2">
        <v>72.5493119911126</v>
      </c>
      <c r="G123" s="2">
        <v>103.337615056085</v>
      </c>
      <c r="H123" s="2">
        <v>121.107071329413</v>
      </c>
      <c r="I123" s="2">
        <v>122.913566357011</v>
      </c>
      <c r="J123" s="2">
        <v>109.909995240634</v>
      </c>
      <c r="K123" s="2">
        <v>99.7472987772233</v>
      </c>
    </row>
    <row r="124">
      <c r="A124" s="2">
        <v>122.0</v>
      </c>
      <c r="B124" s="2">
        <v>122.0</v>
      </c>
      <c r="C124" s="2">
        <v>0.0</v>
      </c>
      <c r="D124" s="2">
        <v>4.32120889348562</v>
      </c>
      <c r="E124" s="2">
        <v>35.0728809553558</v>
      </c>
      <c r="F124" s="2">
        <v>72.3802796444372</v>
      </c>
      <c r="G124" s="2">
        <v>103.281839685688</v>
      </c>
      <c r="H124" s="2">
        <v>121.201781127079</v>
      </c>
      <c r="I124" s="2">
        <v>123.173653095731</v>
      </c>
      <c r="J124" s="2">
        <v>110.349152507904</v>
      </c>
      <c r="K124" s="2">
        <v>100.482253379436</v>
      </c>
    </row>
    <row r="125">
      <c r="A125" s="2">
        <v>123.0</v>
      </c>
      <c r="B125" s="2">
        <v>123.0</v>
      </c>
      <c r="C125" s="2">
        <v>0.0</v>
      </c>
      <c r="D125" s="2">
        <v>4.21024200832655</v>
      </c>
      <c r="E125" s="2">
        <v>34.8645243437919</v>
      </c>
      <c r="F125" s="2">
        <v>72.2141755765137</v>
      </c>
      <c r="G125" s="2">
        <v>103.2280844361</v>
      </c>
      <c r="H125" s="2">
        <v>121.297203967137</v>
      </c>
      <c r="I125" s="2">
        <v>123.432961475335</v>
      </c>
      <c r="J125" s="2">
        <v>110.786141044536</v>
      </c>
      <c r="K125" s="2">
        <v>101.211822185257</v>
      </c>
    </row>
    <row r="126">
      <c r="A126" s="2">
        <v>124.0</v>
      </c>
      <c r="B126" s="2">
        <v>124.0</v>
      </c>
      <c r="C126" s="2">
        <v>0.0</v>
      </c>
      <c r="D126" s="2">
        <v>4.10195390560285</v>
      </c>
      <c r="E126" s="2">
        <v>34.6594173470234</v>
      </c>
      <c r="F126" s="2">
        <v>72.0510185280153</v>
      </c>
      <c r="G126" s="2">
        <v>103.17636991669</v>
      </c>
      <c r="H126" s="2">
        <v>121.39335234722</v>
      </c>
      <c r="I126" s="2">
        <v>123.691486256878</v>
      </c>
      <c r="J126" s="2">
        <v>111.220922397504</v>
      </c>
      <c r="K126" s="2">
        <v>101.935926725217</v>
      </c>
    </row>
    <row r="127">
      <c r="A127" s="2">
        <v>125.0</v>
      </c>
      <c r="B127" s="2">
        <v>125.0</v>
      </c>
      <c r="C127" s="2">
        <v>0.0</v>
      </c>
      <c r="D127" s="2">
        <v>3.99630840227004</v>
      </c>
      <c r="E127" s="2">
        <v>34.4575640091094</v>
      </c>
      <c r="F127" s="2">
        <v>71.8908274022679</v>
      </c>
      <c r="G127" s="2">
        <v>103.126716737999</v>
      </c>
      <c r="H127" s="2">
        <v>121.490238550624</v>
      </c>
      <c r="I127" s="2">
        <v>123.949221751043</v>
      </c>
      <c r="J127" s="2">
        <v>111.653457309861</v>
      </c>
      <c r="K127" s="2">
        <v>102.654488665955</v>
      </c>
    </row>
    <row r="128">
      <c r="A128" s="2">
        <v>126.0</v>
      </c>
      <c r="B128" s="2">
        <v>126.0</v>
      </c>
      <c r="C128" s="2">
        <v>0.0</v>
      </c>
      <c r="D128" s="2">
        <v>3.89326927567261</v>
      </c>
      <c r="E128" s="2">
        <v>34.2589685856717</v>
      </c>
      <c r="F128" s="2">
        <v>71.7336212839208</v>
      </c>
      <c r="G128" s="2">
        <v>103.079145533839</v>
      </c>
      <c r="H128" s="2">
        <v>121.587874669192</v>
      </c>
      <c r="I128" s="2">
        <v>124.206161838919</v>
      </c>
      <c r="J128" s="2">
        <v>112.083705735873</v>
      </c>
      <c r="K128" s="2">
        <v>103.36742977605</v>
      </c>
    </row>
    <row r="129">
      <c r="A129" s="2">
        <v>127.0</v>
      </c>
      <c r="B129" s="2">
        <v>127.0</v>
      </c>
      <c r="C129" s="2">
        <v>0.0</v>
      </c>
      <c r="D129" s="2">
        <v>3.79279989274789</v>
      </c>
      <c r="E129" s="2">
        <v>34.063634757891</v>
      </c>
      <c r="F129" s="2">
        <v>71.5794187445343</v>
      </c>
      <c r="G129" s="2">
        <v>103.033676624188</v>
      </c>
      <c r="H129" s="2">
        <v>121.686272777375</v>
      </c>
      <c r="I129" s="2">
        <v>124.462300736071</v>
      </c>
      <c r="J129" s="2">
        <v>112.511628272435</v>
      </c>
      <c r="K129" s="2">
        <v>104.074674381213</v>
      </c>
    </row>
    <row r="130">
      <c r="A130" s="2">
        <v>128.0</v>
      </c>
      <c r="B130" s="2">
        <v>128.0</v>
      </c>
      <c r="C130" s="2">
        <v>0.0</v>
      </c>
      <c r="D130" s="2">
        <v>3.69486373468679</v>
      </c>
      <c r="E130" s="2">
        <v>33.8715666698372</v>
      </c>
      <c r="F130" s="2">
        <v>71.4282387583688</v>
      </c>
      <c r="G130" s="2">
        <v>102.99033047023</v>
      </c>
      <c r="H130" s="2">
        <v>121.785444728995</v>
      </c>
      <c r="I130" s="2">
        <v>124.717632030287</v>
      </c>
      <c r="J130" s="2">
        <v>112.937184341026</v>
      </c>
      <c r="K130" s="2">
        <v>104.776146126429</v>
      </c>
    </row>
    <row r="131">
      <c r="A131" s="2">
        <v>129.0</v>
      </c>
      <c r="B131" s="2">
        <v>129.0</v>
      </c>
      <c r="C131" s="2">
        <v>0.0</v>
      </c>
      <c r="D131" s="2">
        <v>3.59942402483987</v>
      </c>
      <c r="E131" s="2">
        <v>33.6827681005952</v>
      </c>
      <c r="F131" s="2">
        <v>71.2800999178475</v>
      </c>
      <c r="G131" s="2">
        <v>102.949127207147</v>
      </c>
      <c r="H131" s="2">
        <v>121.885402177808</v>
      </c>
      <c r="I131" s="2">
        <v>124.972149289249</v>
      </c>
      <c r="J131" s="2">
        <v>113.360333479671</v>
      </c>
      <c r="K131" s="2">
        <v>105.471770304162</v>
      </c>
    </row>
    <row r="132">
      <c r="A132" s="2">
        <v>130.0</v>
      </c>
      <c r="B132" s="2">
        <v>130.0</v>
      </c>
      <c r="C132" s="2">
        <v>0.0</v>
      </c>
      <c r="D132" s="2">
        <v>3.50644408359429</v>
      </c>
      <c r="E132" s="2">
        <v>33.4972432208845</v>
      </c>
      <c r="F132" s="2">
        <v>71.1350211812589</v>
      </c>
      <c r="G132" s="2">
        <v>102.910087143912</v>
      </c>
      <c r="H132" s="2">
        <v>121.986156672469</v>
      </c>
      <c r="I132" s="2">
        <v>125.225845652514</v>
      </c>
      <c r="J132" s="2">
        <v>113.781034337376</v>
      </c>
      <c r="K132" s="2">
        <v>106.161471872357</v>
      </c>
    </row>
    <row r="133">
      <c r="A133" s="2">
        <v>131.0</v>
      </c>
      <c r="B133" s="2">
        <v>131.0</v>
      </c>
      <c r="C133" s="2">
        <v>0.0</v>
      </c>
      <c r="D133" s="2">
        <v>3.41588691508515</v>
      </c>
      <c r="E133" s="2">
        <v>33.3149956324122</v>
      </c>
      <c r="F133" s="2">
        <v>70.9930209380983</v>
      </c>
      <c r="G133" s="2">
        <v>102.873230174283</v>
      </c>
      <c r="H133" s="2">
        <v>122.087719616958</v>
      </c>
      <c r="I133" s="2">
        <v>125.478714465553</v>
      </c>
      <c r="J133" s="2">
        <v>114.199246106179</v>
      </c>
      <c r="K133" s="2">
        <v>106.845178084697</v>
      </c>
    </row>
    <row r="134">
      <c r="A134" s="2">
        <v>132.0</v>
      </c>
      <c r="B134" s="2">
        <v>132.0</v>
      </c>
      <c r="C134" s="2">
        <v>0.0</v>
      </c>
      <c r="D134" s="2">
        <v>3.3277156605065</v>
      </c>
      <c r="E134" s="2">
        <v>33.1360293162594</v>
      </c>
      <c r="F134" s="2">
        <v>70.8541178875677</v>
      </c>
      <c r="G134" s="2">
        <v>102.83857627466</v>
      </c>
      <c r="H134" s="2">
        <v>122.190102198094</v>
      </c>
      <c r="I134" s="2">
        <v>125.730748530447</v>
      </c>
      <c r="J134" s="2">
        <v>114.61492699001</v>
      </c>
      <c r="K134" s="2">
        <v>107.522815686063</v>
      </c>
    </row>
    <row r="135">
      <c r="A135" s="2">
        <v>133.0</v>
      </c>
      <c r="B135" s="2">
        <v>133.0</v>
      </c>
      <c r="C135" s="2">
        <v>0.0</v>
      </c>
      <c r="D135" s="2">
        <v>3.24189340509083</v>
      </c>
      <c r="E135" s="2">
        <v>32.960348177955</v>
      </c>
      <c r="F135" s="2">
        <v>70.7183306168961</v>
      </c>
      <c r="G135" s="2">
        <v>102.806145272804</v>
      </c>
      <c r="H135" s="2">
        <v>122.293315439455</v>
      </c>
      <c r="I135" s="2">
        <v>125.98194049833</v>
      </c>
      <c r="J135" s="2">
        <v>115.028034990782</v>
      </c>
      <c r="K135" s="2">
        <v>108.194312273367</v>
      </c>
    </row>
    <row r="136">
      <c r="A136" s="2">
        <v>134.0</v>
      </c>
      <c r="B136" s="2">
        <v>134.0</v>
      </c>
      <c r="C136" s="2">
        <v>0.0</v>
      </c>
      <c r="D136" s="2">
        <v>3.15838320230411</v>
      </c>
      <c r="E136" s="2">
        <v>32.7879560492996</v>
      </c>
      <c r="F136" s="2">
        <v>70.5856775878191</v>
      </c>
      <c r="G136" s="2">
        <v>102.775956822856</v>
      </c>
      <c r="H136" s="2">
        <v>122.39737016983</v>
      </c>
      <c r="I136" s="2">
        <v>126.232282837427</v>
      </c>
      <c r="J136" s="2">
        <v>115.438527884159</v>
      </c>
      <c r="K136" s="2">
        <v>108.859596233697</v>
      </c>
    </row>
    <row r="137">
      <c r="A137" s="2">
        <v>135.0</v>
      </c>
      <c r="B137" s="2">
        <v>135.0</v>
      </c>
      <c r="C137" s="2">
        <v>0.0</v>
      </c>
      <c r="D137" s="2">
        <v>3.07714815125098</v>
      </c>
      <c r="E137" s="2">
        <v>32.6188568377855</v>
      </c>
      <c r="F137" s="2">
        <v>70.4561772995823</v>
      </c>
      <c r="G137" s="2">
        <v>102.748030540628</v>
      </c>
      <c r="H137" s="2">
        <v>122.502277099307</v>
      </c>
      <c r="I137" s="2">
        <v>126.481767826927</v>
      </c>
      <c r="J137" s="2">
        <v>115.846363110761</v>
      </c>
      <c r="K137" s="2">
        <v>109.518596437976</v>
      </c>
    </row>
    <row r="138">
      <c r="A138" s="2">
        <v>136.0</v>
      </c>
      <c r="B138" s="2">
        <v>136.0</v>
      </c>
      <c r="C138" s="2">
        <v>0.0</v>
      </c>
      <c r="D138" s="2">
        <v>2.99815136442272</v>
      </c>
      <c r="E138" s="2">
        <v>32.4530543669922</v>
      </c>
      <c r="F138" s="2">
        <v>70.3298480701587</v>
      </c>
      <c r="G138" s="2">
        <v>102.722385776582</v>
      </c>
      <c r="H138" s="2">
        <v>122.608046630115</v>
      </c>
      <c r="I138" s="2">
        <v>126.730387447101</v>
      </c>
      <c r="J138" s="2">
        <v>116.251497788014</v>
      </c>
      <c r="K138" s="2">
        <v>110.171242379342</v>
      </c>
    </row>
    <row r="139">
      <c r="A139" s="2">
        <v>137.0</v>
      </c>
      <c r="B139" s="2">
        <v>137.0</v>
      </c>
      <c r="C139" s="2">
        <v>0.0</v>
      </c>
      <c r="D139" s="2">
        <v>2.92135604869767</v>
      </c>
      <c r="E139" s="2">
        <v>32.2905525733357</v>
      </c>
      <c r="F139" s="2">
        <v>70.2067083020476</v>
      </c>
      <c r="G139" s="2">
        <v>102.699041901152</v>
      </c>
      <c r="H139" s="2">
        <v>122.714689111565</v>
      </c>
      <c r="I139" s="2">
        <v>126.978133557707</v>
      </c>
      <c r="J139" s="2">
        <v>116.653888770223</v>
      </c>
      <c r="K139" s="2">
        <v>110.81746402765</v>
      </c>
    </row>
    <row r="140">
      <c r="A140" s="2">
        <v>138.0</v>
      </c>
      <c r="B140" s="2">
        <v>138.0</v>
      </c>
      <c r="C140" s="2">
        <v>0.0</v>
      </c>
      <c r="D140" s="2">
        <v>2.84672542502212</v>
      </c>
      <c r="E140" s="2">
        <v>32.1313552136549</v>
      </c>
      <c r="F140" s="2">
        <v>70.0867761160652</v>
      </c>
      <c r="G140" s="2">
        <v>102.678017959272</v>
      </c>
      <c r="H140" s="2">
        <v>122.822214593153</v>
      </c>
      <c r="I140" s="2">
        <v>127.224997814301</v>
      </c>
      <c r="J140" s="2">
        <v>117.053492794944</v>
      </c>
      <c r="K140" s="2">
        <v>111.457192260794</v>
      </c>
    </row>
    <row r="141">
      <c r="A141" s="2">
        <v>139.0</v>
      </c>
      <c r="B141" s="2">
        <v>139.0</v>
      </c>
      <c r="C141" s="2">
        <v>0.0</v>
      </c>
      <c r="D141" s="2">
        <v>2.77422290404252</v>
      </c>
      <c r="E141" s="2">
        <v>31.9754662676416</v>
      </c>
      <c r="F141" s="2">
        <v>69.9700697796125</v>
      </c>
      <c r="G141" s="2">
        <v>102.659332999149</v>
      </c>
      <c r="H141" s="2">
        <v>122.930632964637</v>
      </c>
      <c r="I141" s="2">
        <v>127.470971557347</v>
      </c>
      <c r="J141" s="2">
        <v>117.450266060506</v>
      </c>
      <c r="K141" s="2">
        <v>112.090357934695</v>
      </c>
    </row>
    <row r="142">
      <c r="A142" s="2">
        <v>140.0</v>
      </c>
      <c r="B142" s="2">
        <v>140.0</v>
      </c>
      <c r="C142" s="2">
        <v>0.0</v>
      </c>
      <c r="D142" s="2">
        <v>2.70381205619043</v>
      </c>
      <c r="E142" s="2">
        <v>31.8228897993644</v>
      </c>
      <c r="F142" s="2">
        <v>69.8566075325318</v>
      </c>
      <c r="G142" s="2">
        <v>102.643005909814</v>
      </c>
      <c r="H142" s="2">
        <v>123.039953843453</v>
      </c>
      <c r="I142" s="2">
        <v>127.716045781015</v>
      </c>
      <c r="J142" s="2">
        <v>117.844164310165</v>
      </c>
      <c r="K142" s="2">
        <v>112.716892091311</v>
      </c>
    </row>
    <row r="143">
      <c r="A143" s="2">
        <v>141.0</v>
      </c>
      <c r="B143" s="2">
        <v>141.0</v>
      </c>
      <c r="C143" s="2">
        <v>0.0</v>
      </c>
      <c r="D143" s="2">
        <v>2.63545645176044</v>
      </c>
      <c r="E143" s="2">
        <v>31.6736295342959</v>
      </c>
      <c r="F143" s="2">
        <v>69.7464072168872</v>
      </c>
      <c r="G143" s="2">
        <v>102.629055263809</v>
      </c>
      <c r="H143" s="2">
        <v>123.150186720603</v>
      </c>
      <c r="I143" s="2">
        <v>127.96021162877</v>
      </c>
      <c r="J143" s="2">
        <v>118.235143734122</v>
      </c>
      <c r="K143" s="2">
        <v>113.336727437282</v>
      </c>
    </row>
    <row r="144">
      <c r="A144" s="2">
        <v>142.0</v>
      </c>
      <c r="B144" s="2">
        <v>142.0</v>
      </c>
      <c r="C144" s="2">
        <v>0.0</v>
      </c>
      <c r="D144" s="2">
        <v>2.56911992340995</v>
      </c>
      <c r="E144" s="2">
        <v>31.5276894332879</v>
      </c>
      <c r="F144" s="2">
        <v>69.6394867960054</v>
      </c>
      <c r="G144" s="2">
        <v>102.617499584629</v>
      </c>
      <c r="H144" s="2">
        <v>123.261340860032</v>
      </c>
      <c r="I144" s="2">
        <v>128.203459861699</v>
      </c>
      <c r="J144" s="2">
        <v>118.623159940768</v>
      </c>
      <c r="K144" s="2">
        <v>113.949796511641</v>
      </c>
    </row>
    <row r="145">
      <c r="A145" s="2">
        <v>143.0</v>
      </c>
      <c r="B145" s="2">
        <v>143.0</v>
      </c>
      <c r="C145" s="2">
        <v>0.0</v>
      </c>
      <c r="D145" s="2">
        <v>2.50476662984703</v>
      </c>
      <c r="E145" s="2">
        <v>31.3850737938166</v>
      </c>
      <c r="F145" s="2">
        <v>69.53586441786</v>
      </c>
      <c r="G145" s="2">
        <v>102.608357336695</v>
      </c>
      <c r="H145" s="2">
        <v>123.373425200012</v>
      </c>
      <c r="I145" s="2">
        <v>128.445780669286</v>
      </c>
      <c r="J145" s="2">
        <v>119.008167675091</v>
      </c>
      <c r="K145" s="2">
        <v>114.556031218653</v>
      </c>
    </row>
    <row r="146">
      <c r="A146" s="2">
        <v>144.0</v>
      </c>
      <c r="B146" s="2">
        <v>144.0</v>
      </c>
      <c r="C146" s="2">
        <v>0.0</v>
      </c>
      <c r="D146" s="2">
        <v>2.4423607195295</v>
      </c>
      <c r="E146" s="2">
        <v>31.2457863827023</v>
      </c>
      <c r="F146" s="2">
        <v>69.4355576410589</v>
      </c>
      <c r="G146" s="2">
        <v>102.601646567122</v>
      </c>
      <c r="H146" s="2">
        <v>123.486448596308</v>
      </c>
      <c r="I146" s="2">
        <v>128.687164612885</v>
      </c>
      <c r="J146" s="2">
        <v>119.390122580634</v>
      </c>
      <c r="K146" s="2">
        <v>115.155365783211</v>
      </c>
    </row>
    <row r="147">
      <c r="A147" s="2">
        <v>145.0</v>
      </c>
      <c r="B147" s="2">
        <v>145.0</v>
      </c>
      <c r="C147" s="2">
        <v>0.0</v>
      </c>
      <c r="D147" s="2">
        <v>2.38186676356568</v>
      </c>
      <c r="E147" s="2">
        <v>31.1098314277679</v>
      </c>
      <c r="F147" s="2">
        <v>69.3385843008121</v>
      </c>
      <c r="G147" s="2">
        <v>102.597385290562</v>
      </c>
      <c r="H147" s="2">
        <v>123.600419523712</v>
      </c>
      <c r="I147" s="2">
        <v>128.927601540898</v>
      </c>
      <c r="J147" s="2">
        <v>119.768979212653</v>
      </c>
      <c r="K147" s="2">
        <v>115.747733349917</v>
      </c>
    </row>
    <row r="148">
      <c r="A148" s="2">
        <v>146.0</v>
      </c>
      <c r="B148" s="2">
        <v>146.0</v>
      </c>
      <c r="C148" s="2">
        <v>0.0</v>
      </c>
      <c r="D148" s="2">
        <v>2.32324951264869</v>
      </c>
      <c r="E148" s="2">
        <v>30.9772129826695</v>
      </c>
      <c r="F148" s="2">
        <v>69.2449619567583</v>
      </c>
      <c r="G148" s="2">
        <v>102.595591261265</v>
      </c>
      <c r="H148" s="2">
        <v>123.715346307533</v>
      </c>
      <c r="I148" s="2">
        <v>129.167081348614</v>
      </c>
      <c r="J148" s="2">
        <v>120.144692412081</v>
      </c>
      <c r="K148" s="2">
        <v>116.333068242911</v>
      </c>
    </row>
    <row r="149">
      <c r="A149" s="2">
        <v>147.0</v>
      </c>
      <c r="B149" s="2">
        <v>147.0</v>
      </c>
      <c r="C149" s="2">
        <v>0.0</v>
      </c>
      <c r="D149" s="2">
        <v>2.26647405643915</v>
      </c>
      <c r="E149" s="2">
        <v>30.8479352672371</v>
      </c>
      <c r="F149" s="2">
        <v>69.1547081922291</v>
      </c>
      <c r="G149" s="2">
        <v>102.59628211388</v>
      </c>
      <c r="H149" s="2">
        <v>123.831237038198</v>
      </c>
      <c r="I149" s="2">
        <v>129.405593631789</v>
      </c>
      <c r="J149" s="2">
        <v>120.51721666213</v>
      </c>
      <c r="K149" s="2">
        <v>116.911304829096</v>
      </c>
    </row>
    <row r="150">
      <c r="A150" s="2">
        <v>148.0</v>
      </c>
      <c r="B150" s="2">
        <v>148.0</v>
      </c>
      <c r="C150" s="2">
        <v>0.0</v>
      </c>
      <c r="D150" s="2">
        <v>2.21150580283591</v>
      </c>
      <c r="E150" s="2">
        <v>30.722002544517</v>
      </c>
      <c r="F150" s="2">
        <v>69.067840468</v>
      </c>
      <c r="G150" s="2">
        <v>102.599475241033</v>
      </c>
      <c r="H150" s="2">
        <v>123.948099507153</v>
      </c>
      <c r="I150" s="2">
        <v>129.643127707518</v>
      </c>
      <c r="J150" s="2">
        <v>120.886506227095</v>
      </c>
      <c r="K150" s="2">
        <v>117.482377780859</v>
      </c>
    </row>
    <row r="151">
      <c r="A151" s="2">
        <v>149.0</v>
      </c>
      <c r="B151" s="2">
        <v>149.0</v>
      </c>
      <c r="C151" s="2">
        <v>0.0</v>
      </c>
      <c r="D151" s="2">
        <v>2.15831050463283</v>
      </c>
      <c r="E151" s="2">
        <v>30.5994191426061</v>
      </c>
      <c r="F151" s="2">
        <v>68.9843761517974</v>
      </c>
      <c r="G151" s="2">
        <v>102.605187831988</v>
      </c>
      <c r="H151" s="2">
        <v>124.065941252312</v>
      </c>
      <c r="I151" s="2">
        <v>129.879672663274</v>
      </c>
      <c r="J151" s="2">
        <v>121.252515207636</v>
      </c>
      <c r="K151" s="2">
        <v>118.046222097647</v>
      </c>
    </row>
    <row r="152">
      <c r="A152" s="2">
        <v>150.0</v>
      </c>
      <c r="B152" s="2">
        <v>150.0</v>
      </c>
      <c r="C152" s="2">
        <v>0.0</v>
      </c>
      <c r="D152" s="2">
        <v>2.10685428502383</v>
      </c>
      <c r="E152" s="2">
        <v>30.4801894635364</v>
      </c>
      <c r="F152" s="2">
        <v>68.9043325190411</v>
      </c>
      <c r="G152" s="2">
        <v>102.61343686887</v>
      </c>
      <c r="H152" s="2">
        <v>124.184769552483</v>
      </c>
      <c r="I152" s="2">
        <v>130.115217352825</v>
      </c>
      <c r="J152" s="2">
        <v>121.615197547123</v>
      </c>
      <c r="K152" s="2">
        <v>118.602773080694</v>
      </c>
    </row>
    <row r="153">
      <c r="A153" s="2">
        <v>151.0</v>
      </c>
      <c r="B153" s="2">
        <v>151.0</v>
      </c>
      <c r="C153" s="2">
        <v>0.0</v>
      </c>
      <c r="D153" s="2">
        <v>2.05710358182944</v>
      </c>
      <c r="E153" s="2">
        <v>30.3643177800644</v>
      </c>
      <c r="F153" s="2">
        <v>68.8277265710795</v>
      </c>
      <c r="G153" s="2">
        <v>102.624239051402</v>
      </c>
      <c r="H153" s="2">
        <v>124.30459150659</v>
      </c>
      <c r="I153" s="2">
        <v>130.349750656014</v>
      </c>
      <c r="J153" s="2">
        <v>121.974507509924</v>
      </c>
      <c r="K153" s="2">
        <v>119.151967087166</v>
      </c>
    </row>
    <row r="154">
      <c r="A154" s="2">
        <v>152.0</v>
      </c>
      <c r="B154" s="2">
        <v>152.0</v>
      </c>
      <c r="C154" s="2">
        <v>0.0</v>
      </c>
      <c r="D154" s="2">
        <v>2.00902541783025</v>
      </c>
      <c r="E154" s="2">
        <v>30.2518088807322</v>
      </c>
      <c r="F154" s="2">
        <v>68.7545755825257</v>
      </c>
      <c r="G154" s="2">
        <v>102.637611006595</v>
      </c>
      <c r="H154" s="2">
        <v>124.425413773231</v>
      </c>
      <c r="I154" s="2">
        <v>130.583260683735</v>
      </c>
      <c r="J154" s="2">
        <v>122.330398275654</v>
      </c>
      <c r="K154" s="2">
        <v>119.69373917244</v>
      </c>
    </row>
    <row r="155">
      <c r="A155" s="2">
        <v>153.0</v>
      </c>
      <c r="B155" s="2">
        <v>153.0</v>
      </c>
      <c r="C155" s="2">
        <v>0.0</v>
      </c>
      <c r="D155" s="2">
        <v>1.96258705929332</v>
      </c>
      <c r="E155" s="2">
        <v>30.1426671181072</v>
      </c>
      <c r="F155" s="2">
        <v>68.6848962670192</v>
      </c>
      <c r="G155" s="2">
        <v>102.653568942724</v>
      </c>
      <c r="H155" s="2">
        <v>124.547242921449</v>
      </c>
      <c r="I155" s="2">
        <v>130.81573593416</v>
      </c>
      <c r="J155" s="2">
        <v>122.682824042649</v>
      </c>
      <c r="K155" s="2">
        <v>120.228026545348</v>
      </c>
    </row>
    <row r="156">
      <c r="A156" s="2">
        <v>154.0</v>
      </c>
      <c r="B156" s="2">
        <v>154.0</v>
      </c>
      <c r="C156" s="2">
        <v>0.0</v>
      </c>
      <c r="D156" s="2">
        <v>1.9177563267827</v>
      </c>
      <c r="E156" s="2">
        <v>30.0368971660515</v>
      </c>
      <c r="F156" s="2">
        <v>68.6187054298939</v>
      </c>
      <c r="G156" s="2">
        <v>102.672128915866</v>
      </c>
      <c r="H156" s="2">
        <v>124.670085153564</v>
      </c>
      <c r="I156" s="2">
        <v>131.047164392854</v>
      </c>
      <c r="J156" s="2">
        <v>123.031738412259</v>
      </c>
      <c r="K156" s="2">
        <v>120.754765847008</v>
      </c>
    </row>
    <row r="157">
      <c r="A157" s="2">
        <v>155.0</v>
      </c>
      <c r="B157" s="2">
        <v>155.0</v>
      </c>
      <c r="C157" s="2">
        <v>0.0</v>
      </c>
      <c r="D157" s="2">
        <v>1.8745016150544</v>
      </c>
      <c r="E157" s="2">
        <v>29.9345040282316</v>
      </c>
      <c r="F157" s="2">
        <v>68.5560199703553</v>
      </c>
      <c r="G157" s="2">
        <v>102.693306828155</v>
      </c>
      <c r="H157" s="2">
        <v>124.793946301271</v>
      </c>
      <c r="I157" s="2">
        <v>131.277533529043</v>
      </c>
      <c r="J157" s="2">
        <v>123.37709439321</v>
      </c>
      <c r="K157" s="2">
        <v>121.273893124704</v>
      </c>
    </row>
    <row r="158">
      <c r="A158" s="2">
        <v>156.0</v>
      </c>
      <c r="B158" s="2">
        <v>156.0</v>
      </c>
      <c r="C158" s="2">
        <v>0.0</v>
      </c>
      <c r="D158" s="2">
        <v>1.83279168240312</v>
      </c>
      <c r="E158" s="2">
        <v>29.8354924046115</v>
      </c>
      <c r="F158" s="2">
        <v>68.4968563170638</v>
      </c>
      <c r="G158" s="2">
        <v>102.717118184244</v>
      </c>
      <c r="H158" s="2">
        <v>124.918832046096</v>
      </c>
      <c r="I158" s="2">
        <v>131.506831056978</v>
      </c>
      <c r="J158" s="2">
        <v>123.718845807872</v>
      </c>
      <c r="K158" s="2">
        <v>121.785346131596</v>
      </c>
    </row>
    <row r="159">
      <c r="A159" s="2">
        <v>157.0</v>
      </c>
      <c r="B159" s="2">
        <v>157.0</v>
      </c>
      <c r="C159" s="2">
        <v>0.0</v>
      </c>
      <c r="D159" s="2">
        <v>1.79259587305471</v>
      </c>
      <c r="E159" s="2">
        <v>29.7398672361537</v>
      </c>
      <c r="F159" s="2">
        <v>68.4412309004687</v>
      </c>
      <c r="G159" s="2">
        <v>102.743578289287</v>
      </c>
      <c r="H159" s="2">
        <v>125.044747729253</v>
      </c>
      <c r="I159" s="2">
        <v>131.735044299939</v>
      </c>
      <c r="J159" s="2">
        <v>124.056946143727</v>
      </c>
      <c r="K159" s="2">
        <v>122.289062380139</v>
      </c>
    </row>
    <row r="160">
      <c r="A160" s="2">
        <v>158.0</v>
      </c>
      <c r="B160" s="2">
        <v>158.0</v>
      </c>
      <c r="C160" s="2">
        <v>0.0</v>
      </c>
      <c r="D160" s="2">
        <v>1.75388410021459</v>
      </c>
      <c r="E160" s="2">
        <v>29.647633595067</v>
      </c>
      <c r="F160" s="2">
        <v>68.3891600335393</v>
      </c>
      <c r="G160" s="2">
        <v>102.772702166845</v>
      </c>
      <c r="H160" s="2">
        <v>125.171698337311</v>
      </c>
      <c r="I160" s="2">
        <v>131.96216026504</v>
      </c>
      <c r="J160" s="2">
        <v>124.39134874872</v>
      </c>
      <c r="K160" s="2">
        <v>122.784979463005</v>
      </c>
    </row>
    <row r="161">
      <c r="A161" s="2">
        <v>159.0</v>
      </c>
      <c r="B161" s="2">
        <v>159.0</v>
      </c>
      <c r="C161" s="2">
        <v>0.0</v>
      </c>
      <c r="D161" s="2">
        <v>1.71662687064921</v>
      </c>
      <c r="E161" s="2">
        <v>29.5587967174935</v>
      </c>
      <c r="F161" s="2">
        <v>68.3406599680395</v>
      </c>
      <c r="G161" s="2">
        <v>102.80450463908</v>
      </c>
      <c r="H161" s="2">
        <v>125.299688599358</v>
      </c>
      <c r="I161" s="2">
        <v>132.188165748</v>
      </c>
      <c r="J161" s="2">
        <v>124.722006942749</v>
      </c>
      <c r="K161" s="2">
        <v>123.273035134669</v>
      </c>
    </row>
    <row r="162">
      <c r="A162" s="2">
        <v>160.0</v>
      </c>
      <c r="B162" s="2">
        <v>160.0</v>
      </c>
      <c r="C162" s="2">
        <v>0.0</v>
      </c>
      <c r="D162" s="2">
        <v>1.68079526954271</v>
      </c>
      <c r="E162" s="2">
        <v>29.4733618874139</v>
      </c>
      <c r="F162" s="2">
        <v>68.2957467598555</v>
      </c>
      <c r="G162" s="2">
        <v>102.839000222122</v>
      </c>
      <c r="H162" s="2">
        <v>125.428722946224</v>
      </c>
      <c r="I162" s="2">
        <v>132.413047381502</v>
      </c>
      <c r="J162" s="2">
        <v>125.048874191339</v>
      </c>
      <c r="K162" s="2">
        <v>123.753167612325</v>
      </c>
    </row>
    <row r="163">
      <c r="A163" s="2">
        <v>161.0</v>
      </c>
      <c r="B163" s="2">
        <v>161.0</v>
      </c>
      <c r="C163" s="2">
        <v>0.0</v>
      </c>
      <c r="D163" s="2">
        <v>1.6463609837768</v>
      </c>
      <c r="E163" s="2">
        <v>29.3913344268196</v>
      </c>
      <c r="F163" s="2">
        <v>68.2544362265664</v>
      </c>
      <c r="G163" s="2">
        <v>102.87620305825</v>
      </c>
      <c r="H163" s="2">
        <v>125.558805427929</v>
      </c>
      <c r="I163" s="2">
        <v>132.63679155134</v>
      </c>
      <c r="J163" s="2">
        <v>125.371904041456</v>
      </c>
      <c r="K163" s="2">
        <v>124.225315484956</v>
      </c>
    </row>
    <row r="164">
      <c r="A164" s="2">
        <v>162.0</v>
      </c>
      <c r="B164" s="2">
        <v>162.0</v>
      </c>
      <c r="C164" s="2">
        <v>0.0</v>
      </c>
      <c r="D164" s="2">
        <v>1.6132963641792</v>
      </c>
      <c r="E164" s="2">
        <v>29.3127198518709</v>
      </c>
      <c r="F164" s="2">
        <v>68.21674413737</v>
      </c>
      <c r="G164" s="2">
        <v>102.9161270959</v>
      </c>
      <c r="H164" s="2">
        <v>125.689939846325</v>
      </c>
      <c r="I164" s="2">
        <v>132.859384450812</v>
      </c>
      <c r="J164" s="2">
        <v>125.691050072804</v>
      </c>
      <c r="K164" s="2">
        <v>124.689417481512</v>
      </c>
    </row>
    <row r="165">
      <c r="A165" s="2">
        <v>163.0</v>
      </c>
      <c r="B165" s="2">
        <v>163.0</v>
      </c>
      <c r="C165" s="2">
        <v>0.0</v>
      </c>
      <c r="D165" s="2">
        <v>1.58157448133228</v>
      </c>
      <c r="E165" s="2">
        <v>29.2375239626314</v>
      </c>
      <c r="F165" s="2">
        <v>68.1826862503743</v>
      </c>
      <c r="G165" s="2">
        <v>102.958786039772</v>
      </c>
      <c r="H165" s="2">
        <v>125.822129606904</v>
      </c>
      <c r="I165" s="2">
        <v>133.080811837855</v>
      </c>
      <c r="J165" s="2">
        <v>126.006265566696</v>
      </c>
      <c r="K165" s="2">
        <v>125.145411959865</v>
      </c>
    </row>
    <row r="166">
      <c r="A166" s="2">
        <v>164.0</v>
      </c>
      <c r="B166" s="2">
        <v>164.0</v>
      </c>
      <c r="C166" s="2">
        <v>0.0</v>
      </c>
      <c r="D166" s="2">
        <v>1.55116893168284</v>
      </c>
      <c r="E166" s="2">
        <v>29.1657521966945</v>
      </c>
      <c r="F166" s="2">
        <v>68.1522777113171</v>
      </c>
      <c r="G166" s="2">
        <v>103.004193055119</v>
      </c>
      <c r="H166" s="2">
        <v>125.955377881766</v>
      </c>
      <c r="I166" s="2">
        <v>133.301059744945</v>
      </c>
      <c r="J166" s="2">
        <v>126.317504884417</v>
      </c>
      <c r="K166" s="2">
        <v>125.593239185174</v>
      </c>
    </row>
    <row r="167">
      <c r="A167" s="2">
        <v>165.0</v>
      </c>
      <c r="B167" s="2">
        <v>165.0</v>
      </c>
      <c r="C167" s="2">
        <v>0.0</v>
      </c>
      <c r="D167" s="2">
        <v>1.52205421948102</v>
      </c>
      <c r="E167" s="2">
        <v>29.0974107389739</v>
      </c>
      <c r="F167" s="2">
        <v>68.1255340821095</v>
      </c>
      <c r="G167" s="2">
        <v>103.052361290731</v>
      </c>
      <c r="H167" s="2">
        <v>126.089687375324</v>
      </c>
      <c r="I167" s="2">
        <v>133.520113343723</v>
      </c>
      <c r="J167" s="2">
        <v>126.624721254693</v>
      </c>
      <c r="K167" s="2">
        <v>126.032837547244</v>
      </c>
    </row>
    <row r="168">
      <c r="A168" s="2">
        <v>166.0</v>
      </c>
      <c r="B168" s="2">
        <v>166.0</v>
      </c>
      <c r="C168" s="2">
        <v>0.0</v>
      </c>
      <c r="D168" s="2">
        <v>1.49420545404344</v>
      </c>
      <c r="E168" s="2">
        <v>29.0325055388324</v>
      </c>
      <c r="F168" s="2">
        <v>68.1024704177499</v>
      </c>
      <c r="G168" s="2">
        <v>103.103303405741</v>
      </c>
      <c r="H168" s="2">
        <v>126.225060532928</v>
      </c>
      <c r="I168" s="2">
        <v>133.737957970909</v>
      </c>
      <c r="J168" s="2">
        <v>126.927868798039</v>
      </c>
      <c r="K168" s="2">
        <v>126.464146949576</v>
      </c>
    </row>
    <row r="169">
      <c r="A169" s="2">
        <v>167.0</v>
      </c>
      <c r="B169" s="2">
        <v>167.0</v>
      </c>
      <c r="C169" s="2">
        <v>0.0</v>
      </c>
      <c r="D169" s="2">
        <v>1.46759854967837</v>
      </c>
      <c r="E169" s="2">
        <v>28.9710428772365</v>
      </c>
      <c r="F169" s="2">
        <v>68.0831018013317</v>
      </c>
      <c r="G169" s="2">
        <v>103.157031860858</v>
      </c>
      <c r="H169" s="2">
        <v>126.361499460104</v>
      </c>
      <c r="I169" s="2">
        <v>133.954578600382</v>
      </c>
      <c r="J169" s="2">
        <v>127.226901464861</v>
      </c>
      <c r="K169" s="2">
        <v>126.88710695027</v>
      </c>
    </row>
    <row r="170">
      <c r="A170" s="2">
        <v>168.0</v>
      </c>
      <c r="B170" s="2">
        <v>168.0</v>
      </c>
      <c r="C170" s="2">
        <v>0.0</v>
      </c>
      <c r="D170" s="2">
        <v>1.4422100698209</v>
      </c>
      <c r="E170" s="2">
        <v>28.9130287900129</v>
      </c>
      <c r="F170" s="2">
        <v>68.0674427497649</v>
      </c>
      <c r="G170" s="2">
        <v>103.213558531919</v>
      </c>
      <c r="H170" s="2">
        <v>126.499005889315</v>
      </c>
      <c r="I170" s="2">
        <v>134.169960259371</v>
      </c>
      <c r="J170" s="2">
        <v>127.521774026782</v>
      </c>
      <c r="K170" s="2">
        <v>127.301658502842</v>
      </c>
    </row>
    <row r="171">
      <c r="A171" s="2">
        <v>169.0</v>
      </c>
      <c r="B171" s="2">
        <v>169.0</v>
      </c>
      <c r="C171" s="2">
        <v>0.0</v>
      </c>
      <c r="D171" s="2">
        <v>1.41801752657688</v>
      </c>
      <c r="E171" s="2">
        <v>28.8584700004586</v>
      </c>
      <c r="F171" s="2">
        <v>68.0555081431592</v>
      </c>
      <c r="G171" s="2">
        <v>103.272895287658</v>
      </c>
      <c r="H171" s="2">
        <v>126.637581184772</v>
      </c>
      <c r="I171" s="2">
        <v>134.384087319821</v>
      </c>
      <c r="J171" s="2">
        <v>127.812440489252</v>
      </c>
      <c r="K171" s="2">
        <v>127.707741107255</v>
      </c>
    </row>
    <row r="172">
      <c r="A172" s="2">
        <v>170.0</v>
      </c>
      <c r="B172" s="2">
        <v>170.0</v>
      </c>
      <c r="C172" s="2">
        <v>0.0</v>
      </c>
      <c r="D172" s="2">
        <v>1.39499912077172</v>
      </c>
      <c r="E172" s="2">
        <v>28.8073730060411</v>
      </c>
      <c r="F172" s="2">
        <v>68.0473123067409</v>
      </c>
      <c r="G172" s="2">
        <v>103.335053423401</v>
      </c>
      <c r="H172" s="2">
        <v>126.777226353286</v>
      </c>
      <c r="I172" s="2">
        <v>134.59694423101</v>
      </c>
      <c r="J172" s="2">
        <v>128.098855733571</v>
      </c>
      <c r="K172" s="2">
        <v>128.105295666834</v>
      </c>
    </row>
    <row r="173">
      <c r="A173" s="2">
        <v>171.0</v>
      </c>
      <c r="B173" s="2">
        <v>171.0</v>
      </c>
      <c r="C173" s="2">
        <v>0.0</v>
      </c>
      <c r="D173" s="2">
        <v>1.37313390097748</v>
      </c>
      <c r="E173" s="2">
        <v>28.7597445563086</v>
      </c>
      <c r="F173" s="2">
        <v>68.0428694952684</v>
      </c>
      <c r="G173" s="2">
        <v>103.400043978866</v>
      </c>
      <c r="H173" s="2">
        <v>126.917942082794</v>
      </c>
      <c r="I173" s="2">
        <v>134.808515205607</v>
      </c>
      <c r="J173" s="2">
        <v>128.380974769774</v>
      </c>
      <c r="K173" s="2">
        <v>128.49426309992</v>
      </c>
    </row>
    <row r="174">
      <c r="A174" s="2">
        <v>172.0</v>
      </c>
      <c r="B174" s="2">
        <v>172.0</v>
      </c>
      <c r="C174" s="2">
        <v>0.0</v>
      </c>
      <c r="D174" s="2">
        <v>1.35240181269505</v>
      </c>
      <c r="E174" s="2">
        <v>28.7155917421685</v>
      </c>
      <c r="F174" s="2">
        <v>68.0421939316527</v>
      </c>
      <c r="G174" s="2">
        <v>103.467877690063</v>
      </c>
      <c r="H174" s="2">
        <v>127.059728595462</v>
      </c>
      <c r="I174" s="2">
        <v>135.018783976643</v>
      </c>
      <c r="J174" s="2">
        <v>128.658752402698</v>
      </c>
      <c r="K174" s="2">
        <v>128.874583828979</v>
      </c>
    </row>
    <row r="175">
      <c r="A175" s="2">
        <v>173.0</v>
      </c>
      <c r="B175" s="2">
        <v>173.0</v>
      </c>
      <c r="C175" s="2">
        <v>0.0</v>
      </c>
      <c r="D175" s="2">
        <v>1.33278354946363</v>
      </c>
      <c r="E175" s="2">
        <v>28.6749214700714</v>
      </c>
      <c r="F175" s="2">
        <v>68.045299332585</v>
      </c>
      <c r="G175" s="2">
        <v>103.538564787057</v>
      </c>
      <c r="H175" s="2">
        <v>127.202585843219</v>
      </c>
      <c r="I175" s="2">
        <v>135.227734460317</v>
      </c>
      <c r="J175" s="2">
        <v>128.932144465409</v>
      </c>
      <c r="K175" s="2">
        <v>129.246199767902</v>
      </c>
    </row>
    <row r="176">
      <c r="A176" s="2">
        <v>174.0</v>
      </c>
      <c r="B176" s="2">
        <v>174.0</v>
      </c>
      <c r="C176" s="2">
        <v>0.0</v>
      </c>
      <c r="D176" s="2">
        <v>1.31426073749648</v>
      </c>
      <c r="E176" s="2">
        <v>28.6377410051462</v>
      </c>
      <c r="F176" s="2">
        <v>68.0521993929734</v>
      </c>
      <c r="G176" s="2">
        <v>103.612115207302</v>
      </c>
      <c r="H176" s="2">
        <v>127.346513328428</v>
      </c>
      <c r="I176" s="2">
        <v>135.435350118521</v>
      </c>
      <c r="J176" s="2">
        <v>129.201106642462</v>
      </c>
      <c r="K176" s="2">
        <v>129.609052350141</v>
      </c>
    </row>
    <row r="177">
      <c r="A177" s="2">
        <v>175.0</v>
      </c>
      <c r="B177" s="2">
        <v>175.0</v>
      </c>
      <c r="C177" s="2">
        <v>0.0</v>
      </c>
      <c r="D177" s="2">
        <v>1.29681591832843</v>
      </c>
      <c r="E177" s="2">
        <v>28.6040578820088</v>
      </c>
      <c r="F177" s="2">
        <v>68.0629077176689</v>
      </c>
      <c r="G177" s="2">
        <v>103.68853859387</v>
      </c>
      <c r="H177" s="2">
        <v>127.491510191098</v>
      </c>
      <c r="I177" s="2">
        <v>135.641614145035</v>
      </c>
      <c r="J177" s="2">
        <v>129.46559477902</v>
      </c>
      <c r="K177" s="2">
        <v>129.963082972956</v>
      </c>
    </row>
    <row r="178">
      <c r="A178" s="2">
        <v>176.0</v>
      </c>
      <c r="B178" s="2">
        <v>176.0</v>
      </c>
      <c r="C178" s="2">
        <v>0.0</v>
      </c>
      <c r="D178" s="2">
        <v>1.28043246624694</v>
      </c>
      <c r="E178" s="2">
        <v>28.5738795671267</v>
      </c>
      <c r="F178" s="2">
        <v>68.0774374793265</v>
      </c>
      <c r="G178" s="2">
        <v>103.767844087149</v>
      </c>
      <c r="H178" s="2">
        <v>127.637575221334</v>
      </c>
      <c r="I178" s="2">
        <v>135.846509755041</v>
      </c>
      <c r="J178" s="2">
        <v>129.725565527069</v>
      </c>
      <c r="K178" s="2">
        <v>130.308234090553</v>
      </c>
    </row>
    <row r="179">
      <c r="A179" s="2">
        <v>177.0</v>
      </c>
      <c r="B179" s="2">
        <v>177.0</v>
      </c>
      <c r="C179" s="2">
        <v>0.0</v>
      </c>
      <c r="D179" s="2">
        <v>1.26509473501201</v>
      </c>
      <c r="E179" s="2">
        <v>28.5472139013607</v>
      </c>
      <c r="F179" s="2">
        <v>68.0958018238396</v>
      </c>
      <c r="G179" s="2">
        <v>103.850040521681</v>
      </c>
      <c r="H179" s="2">
        <v>127.784706746988</v>
      </c>
      <c r="I179" s="2">
        <v>136.050019707064</v>
      </c>
      <c r="J179" s="2">
        <v>129.980975433395</v>
      </c>
      <c r="K179" s="2">
        <v>130.644447662929</v>
      </c>
    </row>
    <row r="180">
      <c r="A180" s="2">
        <v>178.0</v>
      </c>
      <c r="B180" s="2">
        <v>178.0</v>
      </c>
      <c r="C180" s="2">
        <v>0.0</v>
      </c>
      <c r="D180" s="2">
        <v>1.2507879432526</v>
      </c>
      <c r="E180" s="2">
        <v>28.524068672266</v>
      </c>
      <c r="F180" s="2">
        <v>68.1180134733639</v>
      </c>
      <c r="G180" s="2">
        <v>103.935136239857</v>
      </c>
      <c r="H180" s="2">
        <v>127.932902762776</v>
      </c>
      <c r="I180" s="2">
        <v>136.252126807941</v>
      </c>
      <c r="J180" s="2">
        <v>130.231781910202</v>
      </c>
      <c r="K180" s="2">
        <v>130.971666731029</v>
      </c>
    </row>
    <row r="181">
      <c r="A181" s="2">
        <v>179.0</v>
      </c>
      <c r="B181" s="2">
        <v>179.0</v>
      </c>
      <c r="C181" s="2">
        <v>0.0</v>
      </c>
      <c r="D181" s="2">
        <v>1.23749835077708</v>
      </c>
      <c r="E181" s="2">
        <v>28.5044521747541</v>
      </c>
      <c r="F181" s="2">
        <v>68.1440852556806</v>
      </c>
      <c r="G181" s="2">
        <v>104.023139372127</v>
      </c>
      <c r="H181" s="2">
        <v>128.082160830366</v>
      </c>
      <c r="I181" s="2">
        <v>136.452813355706</v>
      </c>
      <c r="J181" s="2">
        <v>130.47794212619</v>
      </c>
      <c r="K181" s="2">
        <v>131.289833514141</v>
      </c>
    </row>
    <row r="182">
      <c r="A182" s="2">
        <v>180.0</v>
      </c>
      <c r="B182" s="2">
        <v>180.0</v>
      </c>
      <c r="C182" s="2">
        <v>0.0</v>
      </c>
      <c r="D182" s="2">
        <v>1.22521311022547</v>
      </c>
      <c r="E182" s="2">
        <v>28.4883726356686</v>
      </c>
      <c r="F182" s="2">
        <v>68.1740295150232</v>
      </c>
      <c r="G182" s="2">
        <v>104.114057463672</v>
      </c>
      <c r="H182" s="2">
        <v>128.232478067503</v>
      </c>
      <c r="I182" s="2">
        <v>136.652061587446</v>
      </c>
      <c r="J182" s="2">
        <v>130.719414042276</v>
      </c>
      <c r="K182" s="2">
        <v>131.598891207132</v>
      </c>
    </row>
    <row r="183">
      <c r="A183" s="2">
        <v>181.0</v>
      </c>
      <c r="B183" s="2">
        <v>181.0</v>
      </c>
      <c r="C183" s="2">
        <v>0.0</v>
      </c>
      <c r="D183" s="2">
        <v>1.2139203155387</v>
      </c>
      <c r="E183" s="2">
        <v>28.4758383636477</v>
      </c>
      <c r="F183" s="2">
        <v>68.2078582994323</v>
      </c>
      <c r="G183" s="2">
        <v>104.207897654939</v>
      </c>
      <c r="H183" s="2">
        <v>128.383851283618</v>
      </c>
      <c r="I183" s="2">
        <v>136.849853737966</v>
      </c>
      <c r="J183" s="2">
        <v>130.956156366028</v>
      </c>
      <c r="K183" s="2">
        <v>131.898783766588</v>
      </c>
    </row>
    <row r="184">
      <c r="A184" s="2">
        <v>182.0</v>
      </c>
      <c r="B184" s="2">
        <v>182.0</v>
      </c>
      <c r="C184" s="2">
        <v>0.0</v>
      </c>
      <c r="D184" s="2">
        <v>1.20360914117142</v>
      </c>
      <c r="E184" s="2">
        <v>28.4668581803459</v>
      </c>
      <c r="F184" s="2">
        <v>68.2455837418539</v>
      </c>
      <c r="G184" s="2">
        <v>104.30466684013</v>
      </c>
      <c r="H184" s="2">
        <v>128.536276818095</v>
      </c>
      <c r="I184" s="2">
        <v>137.046171505867</v>
      </c>
      <c r="J184" s="2">
        <v>131.188127578894</v>
      </c>
      <c r="K184" s="2">
        <v>132.189454300465</v>
      </c>
    </row>
    <row r="185">
      <c r="A185" s="2">
        <v>183.0</v>
      </c>
      <c r="B185" s="2">
        <v>183.0</v>
      </c>
      <c r="C185" s="2">
        <v>0.0</v>
      </c>
      <c r="D185" s="2">
        <v>1.19426969510441</v>
      </c>
      <c r="E185" s="2">
        <v>28.4614408544713</v>
      </c>
      <c r="F185" s="2">
        <v>68.2872174957749</v>
      </c>
      <c r="G185" s="2">
        <v>104.404371333686</v>
      </c>
      <c r="H185" s="2">
        <v>128.689750580266</v>
      </c>
      <c r="I185" s="2">
        <v>137.240996557697</v>
      </c>
      <c r="J185" s="2">
        <v>131.415287028636</v>
      </c>
      <c r="K185" s="2">
        <v>132.47084692677</v>
      </c>
    </row>
    <row r="186">
      <c r="A186" s="2">
        <v>184.0</v>
      </c>
      <c r="B186" s="2">
        <v>184.0</v>
      </c>
      <c r="C186" s="2">
        <v>0.0</v>
      </c>
      <c r="D186" s="2">
        <v>1.18589306406986</v>
      </c>
      <c r="E186" s="2">
        <v>28.4595952279227</v>
      </c>
      <c r="F186" s="2">
        <v>68.3327708680092</v>
      </c>
      <c r="G186" s="2">
        <v>104.50701696797</v>
      </c>
      <c r="H186" s="2">
        <v>128.844268083031</v>
      </c>
      <c r="I186" s="2">
        <v>137.43431047765</v>
      </c>
      <c r="J186" s="2">
        <v>131.637594777912</v>
      </c>
      <c r="K186" s="2">
        <v>132.742906455996</v>
      </c>
    </row>
    <row r="187">
      <c r="A187" s="2">
        <v>185.0</v>
      </c>
      <c r="B187" s="2">
        <v>185.0</v>
      </c>
      <c r="C187" s="2">
        <v>0.0</v>
      </c>
      <c r="D187" s="2">
        <v>1.17847148269074</v>
      </c>
      <c r="E187" s="2">
        <v>28.4613307943166</v>
      </c>
      <c r="F187" s="2">
        <v>68.382255393159</v>
      </c>
      <c r="G187" s="2">
        <v>104.612609440259</v>
      </c>
      <c r="H187" s="2">
        <v>128.999824422031</v>
      </c>
      <c r="I187" s="2">
        <v>137.626094290258</v>
      </c>
      <c r="J187" s="2">
        <v>131.855010561842</v>
      </c>
      <c r="K187" s="2">
        <v>133.005576557195</v>
      </c>
    </row>
    <row r="188">
      <c r="A188" s="2">
        <v>186.0</v>
      </c>
      <c r="B188" s="2">
        <v>186.0</v>
      </c>
      <c r="C188" s="2">
        <v>0.0</v>
      </c>
      <c r="D188" s="2">
        <v>1.17199806027004</v>
      </c>
      <c r="E188" s="2">
        <v>28.4666566501148</v>
      </c>
      <c r="F188" s="2">
        <v>68.4356817577723</v>
      </c>
      <c r="G188" s="2">
        <v>104.721153624964</v>
      </c>
      <c r="H188" s="2">
        <v>129.156414242081</v>
      </c>
      <c r="I188" s="2">
        <v>137.81632925627</v>
      </c>
      <c r="J188" s="2">
        <v>132.067495642476</v>
      </c>
      <c r="K188" s="2">
        <v>133.258803008322</v>
      </c>
    </row>
    <row r="189">
      <c r="A189" s="2">
        <v>187.0</v>
      </c>
      <c r="B189" s="2">
        <v>187.0</v>
      </c>
      <c r="C189" s="2">
        <v>0.0</v>
      </c>
      <c r="D189" s="2">
        <v>1.16646704453273</v>
      </c>
      <c r="E189" s="2">
        <v>28.4755824396999</v>
      </c>
      <c r="F189" s="2">
        <v>68.4930607727742</v>
      </c>
      <c r="G189" s="2">
        <v>104.832654210696</v>
      </c>
      <c r="H189" s="2">
        <v>129.314031803585</v>
      </c>
      <c r="I189" s="2">
        <v>138.004996212772</v>
      </c>
      <c r="J189" s="2">
        <v>132.275011231361</v>
      </c>
      <c r="K189" s="2">
        <v>133.502530861743</v>
      </c>
    </row>
    <row r="190">
      <c r="A190" s="2">
        <v>188.0</v>
      </c>
      <c r="B190" s="2">
        <v>188.0</v>
      </c>
      <c r="C190" s="2">
        <v>0.0</v>
      </c>
      <c r="D190" s="2">
        <v>1.16187370503956</v>
      </c>
      <c r="E190" s="2">
        <v>28.4881178761644</v>
      </c>
      <c r="F190" s="2">
        <v>68.5544028611407</v>
      </c>
      <c r="G190" s="2">
        <v>104.947115343219</v>
      </c>
      <c r="H190" s="2">
        <v>129.472670906121</v>
      </c>
      <c r="I190" s="2">
        <v>138.192075864126</v>
      </c>
      <c r="J190" s="2">
        <v>132.477519260835</v>
      </c>
      <c r="K190" s="2">
        <v>133.736705832674</v>
      </c>
    </row>
    <row r="191">
      <c r="A191" s="2">
        <v>189.0</v>
      </c>
      <c r="B191" s="2">
        <v>189.0</v>
      </c>
      <c r="C191" s="2">
        <v>0.0</v>
      </c>
      <c r="D191" s="2">
        <v>1.15821440565204</v>
      </c>
      <c r="E191" s="2">
        <v>28.5042729743323</v>
      </c>
      <c r="F191" s="2">
        <v>68.6197182886106</v>
      </c>
      <c r="G191" s="2">
        <v>105.064540766128</v>
      </c>
      <c r="H191" s="2">
        <v>129.632324883737</v>
      </c>
      <c r="I191" s="2">
        <v>138.377548597072</v>
      </c>
      <c r="J191" s="2">
        <v>132.674981978694</v>
      </c>
      <c r="K191" s="2">
        <v>133.961273574685</v>
      </c>
    </row>
    <row r="192">
      <c r="A192" s="2">
        <v>190.0</v>
      </c>
      <c r="B192" s="2">
        <v>190.0</v>
      </c>
      <c r="C192" s="2">
        <v>0.0</v>
      </c>
      <c r="D192" s="2">
        <v>1.1554865208118</v>
      </c>
      <c r="E192" s="2">
        <v>28.5240577221175</v>
      </c>
      <c r="F192" s="2">
        <v>68.6890168546491</v>
      </c>
      <c r="G192" s="2">
        <v>105.184933670231</v>
      </c>
      <c r="H192" s="2">
        <v>129.792986694406</v>
      </c>
      <c r="I192" s="2">
        <v>138.561394858282</v>
      </c>
      <c r="J192" s="2">
        <v>132.867362684216</v>
      </c>
      <c r="K192" s="2">
        <v>134.176180882337</v>
      </c>
    </row>
    <row r="193">
      <c r="A193" s="2">
        <v>191.0</v>
      </c>
      <c r="B193" s="2">
        <v>191.0</v>
      </c>
      <c r="C193" s="2">
        <v>0.0</v>
      </c>
      <c r="D193" s="2">
        <v>1.1536885373254</v>
      </c>
      <c r="E193" s="2">
        <v>28.5474824094246</v>
      </c>
      <c r="F193" s="2">
        <v>68.7623081930718</v>
      </c>
      <c r="G193" s="2">
        <v>105.308296834562</v>
      </c>
      <c r="H193" s="2">
        <v>129.954648825037</v>
      </c>
      <c r="I193" s="2">
        <v>138.74359478047</v>
      </c>
      <c r="J193" s="2">
        <v>133.054625019744</v>
      </c>
      <c r="K193" s="2">
        <v>134.381374508089</v>
      </c>
    </row>
    <row r="194">
      <c r="A194" s="2">
        <v>192.0</v>
      </c>
      <c r="B194" s="2">
        <v>192.0</v>
      </c>
      <c r="C194" s="2">
        <v>0.0</v>
      </c>
      <c r="D194" s="2">
        <v>1.15282006257101</v>
      </c>
      <c r="E194" s="2">
        <v>28.574557628446</v>
      </c>
      <c r="F194" s="2">
        <v>68.8396017684938</v>
      </c>
      <c r="G194" s="2">
        <v>105.434632622197</v>
      </c>
      <c r="H194" s="2">
        <v>130.117303288926</v>
      </c>
      <c r="I194" s="2">
        <v>138.924128183726</v>
      </c>
      <c r="J194" s="2">
        <v>133.236732982194</v>
      </c>
      <c r="K194" s="2">
        <v>134.57680117054</v>
      </c>
    </row>
    <row r="195">
      <c r="A195" s="2">
        <v>193.0</v>
      </c>
      <c r="B195" s="2">
        <v>193.0</v>
      </c>
      <c r="C195" s="2">
        <v>0.0</v>
      </c>
      <c r="D195" s="2">
        <v>1.15288170818841</v>
      </c>
      <c r="E195" s="2">
        <v>28.6052938230589</v>
      </c>
      <c r="F195" s="2">
        <v>68.9209064406215</v>
      </c>
      <c r="G195" s="2">
        <v>105.563942745162</v>
      </c>
      <c r="H195" s="2">
        <v>130.280941703621</v>
      </c>
      <c r="I195" s="2">
        <v>139.102975034905</v>
      </c>
      <c r="J195" s="2">
        <v>133.413651859211</v>
      </c>
      <c r="K195" s="2">
        <v>134.762409119963</v>
      </c>
    </row>
    <row r="196">
      <c r="A196" s="2">
        <v>194.0</v>
      </c>
      <c r="B196" s="2">
        <v>194.0</v>
      </c>
      <c r="C196" s="2">
        <v>0.0</v>
      </c>
      <c r="D196" s="2">
        <v>1.15387528447347</v>
      </c>
      <c r="E196" s="2">
        <v>28.6397019820779</v>
      </c>
      <c r="F196" s="2">
        <v>69.0062311539436</v>
      </c>
      <c r="G196" s="2">
        <v>105.696228678124</v>
      </c>
      <c r="H196" s="2">
        <v>130.445555257998</v>
      </c>
      <c r="I196" s="2">
        <v>139.280114860026</v>
      </c>
      <c r="J196" s="2">
        <v>133.585346948655</v>
      </c>
      <c r="K196" s="2">
        <v>134.938145913277</v>
      </c>
    </row>
    <row r="197">
      <c r="A197" s="2">
        <v>195.0</v>
      </c>
      <c r="B197" s="2">
        <v>195.0</v>
      </c>
      <c r="C197" s="2">
        <v>0.0</v>
      </c>
      <c r="D197" s="2">
        <v>1.15584063484948</v>
      </c>
      <c r="E197" s="2">
        <v>28.6784078542305</v>
      </c>
      <c r="F197" s="2">
        <v>69.0969904339732</v>
      </c>
      <c r="G197" s="2">
        <v>105.833595389188</v>
      </c>
      <c r="H197" s="2">
        <v>130.613689452696</v>
      </c>
      <c r="I197" s="2">
        <v>139.45821213504</v>
      </c>
      <c r="J197" s="2">
        <v>133.754303854308</v>
      </c>
      <c r="K197" s="2">
        <v>135.106433392716</v>
      </c>
    </row>
    <row r="198">
      <c r="A198" s="2">
        <v>196.0</v>
      </c>
      <c r="B198" s="2">
        <v>196.0</v>
      </c>
      <c r="C198" s="2">
        <v>0.0</v>
      </c>
      <c r="D198" s="2">
        <v>1.15877396322449</v>
      </c>
      <c r="E198" s="2">
        <v>28.7209225639586</v>
      </c>
      <c r="F198" s="2">
        <v>69.1919116460879</v>
      </c>
      <c r="G198" s="2">
        <v>105.974031410163</v>
      </c>
      <c r="H198" s="2">
        <v>130.782809195232</v>
      </c>
      <c r="I198" s="2">
        <v>139.63450653989</v>
      </c>
      <c r="J198" s="2">
        <v>133.917805469567</v>
      </c>
      <c r="K198" s="2">
        <v>135.264437044383</v>
      </c>
    </row>
    <row r="199">
      <c r="A199" s="2">
        <v>197.0</v>
      </c>
      <c r="B199" s="2">
        <v>197.0</v>
      </c>
      <c r="C199" s="2">
        <v>0.0</v>
      </c>
      <c r="D199" s="2">
        <v>1.16268061526934</v>
      </c>
      <c r="E199" s="2">
        <v>28.7672578689069</v>
      </c>
      <c r="F199" s="2">
        <v>69.2910028811675</v>
      </c>
      <c r="G199" s="2">
        <v>106.117536512662</v>
      </c>
      <c r="H199" s="2">
        <v>130.95290378826</v>
      </c>
      <c r="I199" s="2">
        <v>139.808976293146</v>
      </c>
      <c r="J199" s="2">
        <v>134.075818051538</v>
      </c>
      <c r="K199" s="2">
        <v>135.412104274548</v>
      </c>
    </row>
    <row r="200">
      <c r="A200" s="2">
        <v>198.0</v>
      </c>
      <c r="B200" s="2">
        <v>198.0</v>
      </c>
      <c r="C200" s="2">
        <v>0.0</v>
      </c>
      <c r="D200" s="2">
        <v>1.16756720584078</v>
      </c>
      <c r="E200" s="2">
        <v>28.8174259732216</v>
      </c>
      <c r="F200" s="2">
        <v>69.3942721628899</v>
      </c>
      <c r="G200" s="2">
        <v>106.264110094271</v>
      </c>
      <c r="H200" s="2">
        <v>131.123962034447</v>
      </c>
      <c r="I200" s="2">
        <v>139.981599209613</v>
      </c>
      <c r="J200" s="2">
        <v>134.228308087989</v>
      </c>
      <c r="K200" s="2">
        <v>135.549382141971</v>
      </c>
    </row>
    <row r="201">
      <c r="A201" s="2">
        <v>199.0</v>
      </c>
      <c r="B201" s="2">
        <v>199.0</v>
      </c>
      <c r="C201" s="2">
        <v>0.0</v>
      </c>
      <c r="D201" s="2">
        <v>1.17344149912509</v>
      </c>
      <c r="E201" s="2">
        <v>28.871439065974</v>
      </c>
      <c r="F201" s="2">
        <v>69.5017269946409</v>
      </c>
      <c r="G201" s="2">
        <v>106.41375092111</v>
      </c>
      <c r="H201" s="2">
        <v>131.295972289796</v>
      </c>
      <c r="I201" s="2">
        <v>140.152353136066</v>
      </c>
      <c r="J201" s="2">
        <v>134.375243210924</v>
      </c>
      <c r="K201" s="2">
        <v>135.676218912538</v>
      </c>
    </row>
    <row r="202">
      <c r="A202" s="2">
        <v>200.0</v>
      </c>
      <c r="B202" s="2">
        <v>200.0</v>
      </c>
      <c r="C202" s="2">
        <v>0.0</v>
      </c>
      <c r="D202" s="2">
        <v>1.18031250692458</v>
      </c>
      <c r="E202" s="2">
        <v>28.9293096500026</v>
      </c>
      <c r="F202" s="2">
        <v>69.6133746624526</v>
      </c>
      <c r="G202" s="2">
        <v>106.566457271221</v>
      </c>
      <c r="H202" s="2">
        <v>131.468922369575</v>
      </c>
      <c r="I202" s="2">
        <v>140.321215575395</v>
      </c>
      <c r="J202" s="2">
        <v>134.516591477426</v>
      </c>
      <c r="K202" s="2">
        <v>135.792562872234</v>
      </c>
    </row>
    <row r="203">
      <c r="A203" s="2">
        <v>201.0</v>
      </c>
      <c r="B203" s="2">
        <v>201.0</v>
      </c>
      <c r="C203" s="2">
        <v>0.0</v>
      </c>
      <c r="D203" s="2">
        <v>1.18819036684271</v>
      </c>
      <c r="E203" s="2">
        <v>28.9910500885102</v>
      </c>
      <c r="F203" s="2">
        <v>69.7292218069091</v>
      </c>
      <c r="G203" s="2">
        <v>106.722226717936</v>
      </c>
      <c r="H203" s="2">
        <v>131.642799653763</v>
      </c>
      <c r="I203" s="2">
        <v>140.488164179464</v>
      </c>
      <c r="J203" s="2">
        <v>134.652322338467</v>
      </c>
      <c r="K203" s="2">
        <v>135.89836394342</v>
      </c>
    </row>
    <row r="204">
      <c r="A204" s="2">
        <v>202.0</v>
      </c>
      <c r="B204" s="2">
        <v>202.0</v>
      </c>
      <c r="C204" s="2">
        <v>0.0</v>
      </c>
      <c r="D204" s="2">
        <v>1.19708650322557</v>
      </c>
      <c r="E204" s="2">
        <v>29.0566731697463</v>
      </c>
      <c r="F204" s="2">
        <v>69.8492749648692</v>
      </c>
      <c r="G204" s="2">
        <v>106.881056421374</v>
      </c>
      <c r="H204" s="2">
        <v>131.817590991099</v>
      </c>
      <c r="I204" s="2">
        <v>140.65317618296</v>
      </c>
      <c r="J204" s="2">
        <v>134.782405490463</v>
      </c>
      <c r="K204" s="2">
        <v>135.993571751916</v>
      </c>
    </row>
    <row r="205">
      <c r="A205" s="2">
        <v>203.0</v>
      </c>
      <c r="B205" s="2">
        <v>203.0</v>
      </c>
      <c r="C205" s="2">
        <v>0.0</v>
      </c>
      <c r="D205" s="2">
        <v>1.20701359989576</v>
      </c>
      <c r="E205" s="2">
        <v>29.1261919993301</v>
      </c>
      <c r="F205" s="2">
        <v>69.9735404791528</v>
      </c>
      <c r="G205" s="2">
        <v>107.042943102557</v>
      </c>
      <c r="H205" s="2">
        <v>131.993282762949</v>
      </c>
      <c r="I205" s="2">
        <v>140.81622856959</v>
      </c>
      <c r="J205" s="2">
        <v>134.906811161637</v>
      </c>
      <c r="K205" s="2">
        <v>136.078136084166</v>
      </c>
    </row>
    <row r="206">
      <c r="A206" s="2">
        <v>204.0</v>
      </c>
      <c r="B206" s="2">
        <v>204.0</v>
      </c>
      <c r="C206" s="2">
        <v>0.0</v>
      </c>
      <c r="D206" s="2">
        <v>1.21798547377478</v>
      </c>
      <c r="E206" s="2">
        <v>29.1996195150959</v>
      </c>
      <c r="F206" s="2">
        <v>70.1020240004068</v>
      </c>
      <c r="G206" s="2">
        <v>107.207882722288</v>
      </c>
      <c r="H206" s="2">
        <v>132.169860861601</v>
      </c>
      <c r="I206" s="2">
        <v>140.977298430554</v>
      </c>
      <c r="J206" s="2">
        <v>135.025510951492</v>
      </c>
      <c r="K206" s="2">
        <v>136.152008380209</v>
      </c>
    </row>
    <row r="207">
      <c r="A207" s="2">
        <v>205.0</v>
      </c>
      <c r="B207" s="2">
        <v>205.0</v>
      </c>
      <c r="C207" s="2">
        <v>0.0</v>
      </c>
      <c r="D207" s="2">
        <v>1.23001720377682</v>
      </c>
      <c r="E207" s="2">
        <v>29.2769689426283</v>
      </c>
      <c r="F207" s="2">
        <v>70.2347309309728</v>
      </c>
      <c r="G207" s="2">
        <v>107.375870730772</v>
      </c>
      <c r="H207" s="2">
        <v>132.34731063392</v>
      </c>
      <c r="I207" s="2">
        <v>141.136362533404</v>
      </c>
      <c r="J207" s="2">
        <v>135.138476931323</v>
      </c>
      <c r="K207" s="2">
        <v>136.215140211258</v>
      </c>
    </row>
    <row r="208">
      <c r="A208" s="2">
        <v>206.0</v>
      </c>
      <c r="B208" s="2">
        <v>206.0</v>
      </c>
      <c r="C208" s="2">
        <v>0.0</v>
      </c>
      <c r="D208" s="2">
        <v>1.24312510126688</v>
      </c>
      <c r="E208" s="2">
        <v>29.3582537018225</v>
      </c>
      <c r="F208" s="2">
        <v>70.3716663738772</v>
      </c>
      <c r="G208" s="2">
        <v>107.546902103882</v>
      </c>
      <c r="H208" s="2">
        <v>132.525617023076</v>
      </c>
      <c r="I208" s="2">
        <v>141.293397572131</v>
      </c>
      <c r="J208" s="2">
        <v>135.245682009963</v>
      </c>
      <c r="K208" s="2">
        <v>136.267483823112</v>
      </c>
    </row>
    <row r="209">
      <c r="A209" s="2">
        <v>207.0</v>
      </c>
      <c r="B209" s="2">
        <v>207.0</v>
      </c>
      <c r="C209" s="2">
        <v>0.0</v>
      </c>
      <c r="D209" s="2">
        <v>1.25732664283049</v>
      </c>
      <c r="E209" s="2">
        <v>29.4434871215482</v>
      </c>
      <c r="F209" s="2">
        <v>70.5128347905512</v>
      </c>
      <c r="G209" s="2">
        <v>107.720971044958</v>
      </c>
      <c r="H209" s="2">
        <v>132.704764391723</v>
      </c>
      <c r="I209" s="2">
        <v>141.448380172765</v>
      </c>
      <c r="J209" s="2">
        <v>135.347100188584</v>
      </c>
      <c r="K209" s="2">
        <v>136.308992730059</v>
      </c>
    </row>
    <row r="210">
      <c r="A210" s="2">
        <v>208.0</v>
      </c>
      <c r="B210" s="2">
        <v>208.0</v>
      </c>
      <c r="C210" s="2">
        <v>0.0</v>
      </c>
      <c r="D210" s="2">
        <v>1.27264063496859</v>
      </c>
      <c r="E210" s="2">
        <v>29.5326830593321</v>
      </c>
      <c r="F210" s="2">
        <v>70.6582406691602</v>
      </c>
      <c r="G210" s="2">
        <v>107.898071465766</v>
      </c>
      <c r="H210" s="2">
        <v>132.884736655961</v>
      </c>
      <c r="I210" s="2">
        <v>141.601286568554</v>
      </c>
      <c r="J210" s="2">
        <v>135.442705636286</v>
      </c>
      <c r="K210" s="2">
        <v>136.339620007454</v>
      </c>
    </row>
    <row r="211">
      <c r="A211" s="2">
        <v>209.0</v>
      </c>
      <c r="B211" s="2">
        <v>209.0</v>
      </c>
      <c r="C211" s="2">
        <v>0.0</v>
      </c>
      <c r="D211" s="2">
        <v>1.28908701503505</v>
      </c>
      <c r="E211" s="2">
        <v>29.6258551608621</v>
      </c>
      <c r="F211" s="2">
        <v>70.8078877561242</v>
      </c>
      <c r="G211" s="2">
        <v>108.078196475097</v>
      </c>
      <c r="H211" s="2">
        <v>133.065517217218</v>
      </c>
      <c r="I211" s="2">
        <v>141.752093099671</v>
      </c>
      <c r="J211" s="2">
        <v>135.532473909594</v>
      </c>
      <c r="K211" s="2">
        <v>136.359320497548</v>
      </c>
    </row>
    <row r="212">
      <c r="A212" s="2">
        <v>210.0</v>
      </c>
      <c r="B212" s="2">
        <v>210.0</v>
      </c>
      <c r="C212" s="2">
        <v>0.0</v>
      </c>
      <c r="D212" s="2">
        <v>1.30668698075689</v>
      </c>
      <c r="E212" s="2">
        <v>29.7230173342765</v>
      </c>
      <c r="F212" s="2">
        <v>70.9617795430469</v>
      </c>
      <c r="G212" s="2">
        <v>108.261338692174</v>
      </c>
      <c r="H212" s="2">
        <v>133.24708898253</v>
      </c>
      <c r="I212" s="2">
        <v>141.900775861531</v>
      </c>
      <c r="J212" s="2">
        <v>135.616381124258</v>
      </c>
      <c r="K212" s="2">
        <v>136.36804936065</v>
      </c>
    </row>
    <row r="213">
      <c r="A213" s="2">
        <v>211.0</v>
      </c>
      <c r="B213" s="2">
        <v>211.0</v>
      </c>
      <c r="C213" s="2">
        <v>0.0</v>
      </c>
      <c r="D213" s="2">
        <v>1.32546295513532</v>
      </c>
      <c r="E213" s="2">
        <v>29.8241836308919</v>
      </c>
      <c r="F213" s="2">
        <v>71.1199191600189</v>
      </c>
      <c r="G213" s="2">
        <v>108.44749019987</v>
      </c>
      <c r="H213" s="2">
        <v>133.429434404937</v>
      </c>
      <c r="I213" s="2">
        <v>142.047310847182</v>
      </c>
      <c r="J213" s="2">
        <v>135.694404215385</v>
      </c>
      <c r="K213" s="2">
        <v>136.36576252026</v>
      </c>
    </row>
    <row r="214">
      <c r="A214" s="2">
        <v>212.0</v>
      </c>
      <c r="B214" s="2">
        <v>212.0</v>
      </c>
      <c r="C214" s="2">
        <v>0.0</v>
      </c>
      <c r="D214" s="2">
        <v>1.34543854724348</v>
      </c>
      <c r="E214" s="2">
        <v>29.9293680840294</v>
      </c>
      <c r="F214" s="2">
        <v>71.2823091722972</v>
      </c>
      <c r="G214" s="2">
        <v>108.63664235197</v>
      </c>
      <c r="H214" s="2">
        <v>133.612535345115</v>
      </c>
      <c r="I214" s="2">
        <v>142.191673899963</v>
      </c>
      <c r="J214" s="2">
        <v>135.766521016157</v>
      </c>
      <c r="K214" s="2">
        <v>136.352416929017</v>
      </c>
    </row>
    <row r="215">
      <c r="A215" s="2">
        <v>213.0</v>
      </c>
      <c r="B215" s="2">
        <v>213.0</v>
      </c>
      <c r="C215" s="2">
        <v>0.0</v>
      </c>
      <c r="D215" s="2">
        <v>1.36663858332126</v>
      </c>
      <c r="E215" s="2">
        <v>30.0385848734281</v>
      </c>
      <c r="F215" s="2">
        <v>71.4489518230915</v>
      </c>
      <c r="G215" s="2">
        <v>108.828786041647</v>
      </c>
      <c r="H215" s="2">
        <v>133.796373314356</v>
      </c>
      <c r="I215" s="2">
        <v>142.333840882251</v>
      </c>
      <c r="J215" s="2">
        <v>135.832710295176</v>
      </c>
      <c r="K215" s="2">
        <v>136.327970472639</v>
      </c>
    </row>
    <row r="216">
      <c r="A216" s="2">
        <v>214.0</v>
      </c>
      <c r="B216" s="2">
        <v>214.0</v>
      </c>
      <c r="C216" s="2">
        <v>0.0</v>
      </c>
      <c r="D216" s="2">
        <v>1.38908916860404</v>
      </c>
      <c r="E216" s="2">
        <v>30.1518484999252</v>
      </c>
      <c r="F216" s="2">
        <v>71.6198491317858</v>
      </c>
      <c r="G216" s="2">
        <v>109.023911638162</v>
      </c>
      <c r="H216" s="2">
        <v>133.980929215014</v>
      </c>
      <c r="I216" s="2">
        <v>142.473787213292</v>
      </c>
      <c r="J216" s="2">
        <v>135.89295106652</v>
      </c>
      <c r="K216" s="2">
        <v>136.292380980237</v>
      </c>
    </row>
    <row r="217">
      <c r="A217" s="2">
        <v>215.0</v>
      </c>
      <c r="B217" s="2">
        <v>215.0</v>
      </c>
      <c r="C217" s="2">
        <v>0.0</v>
      </c>
      <c r="D217" s="2">
        <v>1.41281750935623</v>
      </c>
      <c r="E217" s="2">
        <v>30.2691731967957</v>
      </c>
      <c r="F217" s="2">
        <v>71.7950023424991</v>
      </c>
      <c r="G217" s="2">
        <v>109.222008705357</v>
      </c>
      <c r="H217" s="2">
        <v>134.166183467471</v>
      </c>
      <c r="I217" s="2">
        <v>142.61148848535</v>
      </c>
      <c r="J217" s="2">
        <v>135.947223796056</v>
      </c>
      <c r="K217" s="2">
        <v>136.245608275319</v>
      </c>
    </row>
    <row r="218">
      <c r="A218" s="2">
        <v>216.0</v>
      </c>
      <c r="B218" s="2">
        <v>216.0</v>
      </c>
      <c r="C218" s="2">
        <v>0.0</v>
      </c>
      <c r="D218" s="2">
        <v>1.43785204383031</v>
      </c>
      <c r="E218" s="2">
        <v>30.3905734186242</v>
      </c>
      <c r="F218" s="2">
        <v>71.9744124413777</v>
      </c>
      <c r="G218" s="2">
        <v>109.42306635818</v>
      </c>
      <c r="H218" s="2">
        <v>134.352116080729</v>
      </c>
      <c r="I218" s="2">
        <v>142.746920162791</v>
      </c>
      <c r="J218" s="2">
        <v>135.995509617</v>
      </c>
      <c r="K218" s="2">
        <v>136.187612771294</v>
      </c>
    </row>
    <row r="219">
      <c r="A219" s="2">
        <v>217.0</v>
      </c>
      <c r="B219" s="2">
        <v>217.0</v>
      </c>
      <c r="C219" s="2">
        <v>0.0</v>
      </c>
      <c r="D219" s="2">
        <v>1.46422243413078</v>
      </c>
      <c r="E219" s="2">
        <v>30.5160637966058</v>
      </c>
      <c r="F219" s="2">
        <v>72.1580800672567</v>
      </c>
      <c r="G219" s="2">
        <v>109.627073134244</v>
      </c>
      <c r="H219" s="2">
        <v>134.538706499807</v>
      </c>
      <c r="I219" s="2">
        <v>142.880057424056</v>
      </c>
      <c r="J219" s="2">
        <v>136.037790176921</v>
      </c>
      <c r="K219" s="2">
        <v>136.118355348281</v>
      </c>
    </row>
    <row r="220">
      <c r="A220" s="2">
        <v>218.0</v>
      </c>
      <c r="B220" s="2">
        <v>218.0</v>
      </c>
      <c r="C220" s="2">
        <v>0.0</v>
      </c>
      <c r="D220" s="2">
        <v>1.49195945120326</v>
      </c>
      <c r="E220" s="2">
        <v>30.6456587878647</v>
      </c>
      <c r="F220" s="2">
        <v>72.3460052008812</v>
      </c>
      <c r="G220" s="2">
        <v>109.834016861353</v>
      </c>
      <c r="H220" s="2">
        <v>134.725933730374</v>
      </c>
      <c r="I220" s="2">
        <v>143.010875585512</v>
      </c>
      <c r="J220" s="2">
        <v>136.074048411432</v>
      </c>
      <c r="K220" s="2">
        <v>136.037798652349</v>
      </c>
    </row>
    <row r="221">
      <c r="A221" s="2">
        <v>219.0</v>
      </c>
      <c r="B221" s="2">
        <v>219.0</v>
      </c>
      <c r="C221" s="2">
        <v>0.0</v>
      </c>
      <c r="D221" s="2">
        <v>1.52109514340211</v>
      </c>
      <c r="E221" s="2">
        <v>30.7793732521183</v>
      </c>
      <c r="F221" s="2">
        <v>72.5381877169695</v>
      </c>
      <c r="G221" s="2">
        <v>110.043884953235</v>
      </c>
      <c r="H221" s="2">
        <v>134.913776238636</v>
      </c>
      <c r="I221" s="2">
        <v>143.139349521653</v>
      </c>
      <c r="J221" s="2">
        <v>136.104267368264</v>
      </c>
      <c r="K221" s="2">
        <v>135.945905132371</v>
      </c>
    </row>
    <row r="222">
      <c r="A222" s="2">
        <v>220.0</v>
      </c>
      <c r="B222" s="2">
        <v>220.0</v>
      </c>
      <c r="C222" s="2">
        <v>0.0</v>
      </c>
      <c r="D222" s="2">
        <v>1.55166257274429</v>
      </c>
      <c r="E222" s="2">
        <v>30.9172216108815</v>
      </c>
      <c r="F222" s="2">
        <v>72.7346265858123</v>
      </c>
      <c r="G222" s="2">
        <v>110.256663979835</v>
      </c>
      <c r="H222" s="2">
        <v>135.102212087492</v>
      </c>
      <c r="I222" s="2">
        <v>143.265454484185</v>
      </c>
      <c r="J222" s="2">
        <v>136.128431853081</v>
      </c>
      <c r="K222" s="2">
        <v>135.842639873479</v>
      </c>
    </row>
    <row r="223">
      <c r="A223" s="2">
        <v>221.0</v>
      </c>
      <c r="B223" s="2">
        <v>221.0</v>
      </c>
      <c r="C223" s="2">
        <v>0.0</v>
      </c>
      <c r="D223" s="2">
        <v>1.58369609297465</v>
      </c>
      <c r="E223" s="2">
        <v>31.0592187773757</v>
      </c>
      <c r="F223" s="2">
        <v>72.9353207572126</v>
      </c>
      <c r="G223" s="2">
        <v>110.472340134145</v>
      </c>
      <c r="H223" s="2">
        <v>135.291218763681</v>
      </c>
      <c r="I223" s="2">
        <v>143.389165157093</v>
      </c>
      <c r="J223" s="2">
        <v>136.146526532739</v>
      </c>
      <c r="K223" s="2">
        <v>135.727967418592</v>
      </c>
    </row>
    <row r="224">
      <c r="A224" s="2">
        <v>222.0</v>
      </c>
      <c r="B224" s="2">
        <v>222.0</v>
      </c>
      <c r="C224" s="2">
        <v>0.0</v>
      </c>
      <c r="D224" s="2">
        <v>1.61723111858426</v>
      </c>
      <c r="E224" s="2">
        <v>31.2053794445416</v>
      </c>
      <c r="F224" s="2">
        <v>73.140268503754</v>
      </c>
      <c r="G224" s="2">
        <v>110.690898908528</v>
      </c>
      <c r="H224" s="2">
        <v>135.480773350809</v>
      </c>
      <c r="I224" s="2">
        <v>143.510456419432</v>
      </c>
      <c r="J224" s="2">
        <v>136.158537402506</v>
      </c>
      <c r="K224" s="2">
        <v>135.601854262521</v>
      </c>
    </row>
    <row r="225">
      <c r="A225" s="2">
        <v>223.0</v>
      </c>
      <c r="B225" s="2">
        <v>223.0</v>
      </c>
      <c r="C225" s="2">
        <v>0.0</v>
      </c>
      <c r="D225" s="2">
        <v>1.65230418209465</v>
      </c>
      <c r="E225" s="2">
        <v>31.3557182979587</v>
      </c>
      <c r="F225" s="2">
        <v>73.3494676147415</v>
      </c>
      <c r="G225" s="2">
        <v>110.912325178181</v>
      </c>
      <c r="H225" s="2">
        <v>135.670852450268</v>
      </c>
      <c r="I225" s="2">
        <v>143.629303074485</v>
      </c>
      <c r="J225" s="2">
        <v>136.164451275529</v>
      </c>
      <c r="K225" s="2">
        <v>135.464268051171</v>
      </c>
    </row>
    <row r="226">
      <c r="A226" s="2">
        <v>224.0</v>
      </c>
      <c r="B226" s="2">
        <v>224.0</v>
      </c>
      <c r="C226" s="2">
        <v>0.0</v>
      </c>
      <c r="D226" s="2">
        <v>1.68895299588146</v>
      </c>
      <c r="E226" s="2">
        <v>31.510250243421</v>
      </c>
      <c r="F226" s="2">
        <v>73.5629156191841</v>
      </c>
      <c r="G226" s="2">
        <v>111.136603326336</v>
      </c>
      <c r="H226" s="2">
        <v>135.861432151895</v>
      </c>
      <c r="I226" s="2">
        <v>143.745679630705</v>
      </c>
      <c r="J226" s="2">
        <v>136.164255321562</v>
      </c>
      <c r="K226" s="2">
        <v>135.315176826857</v>
      </c>
    </row>
    <row r="227">
      <c r="A227" s="2">
        <v>225.0</v>
      </c>
      <c r="B227" s="2">
        <v>225.0</v>
      </c>
      <c r="C227" s="2">
        <v>0.0</v>
      </c>
      <c r="D227" s="2">
        <v>1.72721628344369</v>
      </c>
      <c r="E227" s="2">
        <v>31.6689899106437</v>
      </c>
      <c r="F227" s="2">
        <v>73.7806093153968</v>
      </c>
      <c r="G227" s="2">
        <v>111.363716986313</v>
      </c>
      <c r="H227" s="2">
        <v>136.052488101907</v>
      </c>
      <c r="I227" s="2">
        <v>143.859560762642</v>
      </c>
      <c r="J227" s="2">
        <v>136.157937997406</v>
      </c>
      <c r="K227" s="2">
        <v>135.154550664776</v>
      </c>
    </row>
    <row r="228">
      <c r="A228" s="2">
        <v>226.0</v>
      </c>
      <c r="B228" s="2">
        <v>226.0</v>
      </c>
      <c r="C228" s="2">
        <v>0.0</v>
      </c>
      <c r="D228" s="2">
        <v>1.76713383660042</v>
      </c>
      <c r="E228" s="2">
        <v>31.8319518843321</v>
      </c>
      <c r="F228" s="2">
        <v>74.0025450069904</v>
      </c>
      <c r="G228" s="2">
        <v>111.59364918809</v>
      </c>
      <c r="H228" s="2">
        <v>136.243995500566</v>
      </c>
      <c r="I228" s="2">
        <v>143.970921120808</v>
      </c>
      <c r="J228" s="2">
        <v>136.145488612267</v>
      </c>
      <c r="K228" s="2">
        <v>134.982360949044</v>
      </c>
    </row>
    <row r="229">
      <c r="A229" s="2">
        <v>227.0</v>
      </c>
      <c r="B229" s="2">
        <v>227.0</v>
      </c>
      <c r="C229" s="2">
        <v>0.0</v>
      </c>
      <c r="D229" s="2">
        <v>1.80874665686439</v>
      </c>
      <c r="E229" s="2">
        <v>31.99915117014</v>
      </c>
      <c r="F229" s="2">
        <v>74.2287189447695</v>
      </c>
      <c r="G229" s="2">
        <v>111.826382590316</v>
      </c>
      <c r="H229" s="2">
        <v>136.435929013215</v>
      </c>
      <c r="I229" s="2">
        <v>144.079734856023</v>
      </c>
      <c r="J229" s="2">
        <v>136.126896374</v>
      </c>
      <c r="K229" s="2">
        <v>134.798578790873</v>
      </c>
    </row>
    <row r="230">
      <c r="A230" s="2">
        <v>228.0</v>
      </c>
      <c r="B230" s="2">
        <v>228.0</v>
      </c>
      <c r="C230" s="2">
        <v>0.0</v>
      </c>
      <c r="D230" s="2">
        <v>1.8520966203657</v>
      </c>
      <c r="E230" s="2">
        <v>32.1706022144752</v>
      </c>
      <c r="F230" s="2">
        <v>74.4591264050804</v>
      </c>
      <c r="G230" s="2">
        <v>112.061898988853</v>
      </c>
      <c r="H230" s="2">
        <v>136.628262932793</v>
      </c>
      <c r="I230" s="2">
        <v>144.185976566561</v>
      </c>
      <c r="J230" s="2">
        <v>136.102152277014</v>
      </c>
      <c r="K230" s="2">
        <v>134.60317829893</v>
      </c>
    </row>
    <row r="231">
      <c r="A231" s="2">
        <v>229.0</v>
      </c>
      <c r="B231" s="2">
        <v>229.0</v>
      </c>
      <c r="C231" s="2">
        <v>0.0</v>
      </c>
      <c r="D231" s="2">
        <v>1.89722669346322</v>
      </c>
      <c r="E231" s="2">
        <v>32.3463196109141</v>
      </c>
      <c r="F231" s="2">
        <v>74.6937623626956</v>
      </c>
      <c r="G231" s="2">
        <v>112.300179676808</v>
      </c>
      <c r="H231" s="2">
        <v>136.820971058984</v>
      </c>
      <c r="I231" s="2">
        <v>144.28962059634</v>
      </c>
      <c r="J231" s="2">
        <v>136.071247684645</v>
      </c>
      <c r="K231" s="2">
        <v>134.39613420292</v>
      </c>
    </row>
    <row r="232">
      <c r="A232" s="2">
        <v>230.0</v>
      </c>
      <c r="B232" s="2">
        <v>230.0</v>
      </c>
      <c r="C232" s="2">
        <v>0.0</v>
      </c>
      <c r="D232" s="2">
        <v>1.94418087388302</v>
      </c>
      <c r="E232" s="2">
        <v>32.5263179643308</v>
      </c>
      <c r="F232" s="2">
        <v>74.9326213669707</v>
      </c>
      <c r="G232" s="2">
        <v>112.541205378806</v>
      </c>
      <c r="H232" s="2">
        <v>137.014026718508</v>
      </c>
      <c r="I232" s="2">
        <v>144.390641156646</v>
      </c>
      <c r="J232" s="2">
        <v>136.034174563504</v>
      </c>
      <c r="K232" s="2">
        <v>134.177422299427</v>
      </c>
    </row>
    <row r="233">
      <c r="A233" s="2">
        <v>231.0</v>
      </c>
      <c r="B233" s="2">
        <v>231.0</v>
      </c>
      <c r="C233" s="2">
        <v>0.0</v>
      </c>
      <c r="D233" s="2">
        <v>1.99300412811386</v>
      </c>
      <c r="E233" s="2">
        <v>32.7106117589745</v>
      </c>
      <c r="F233" s="2">
        <v>75.1756974312263</v>
      </c>
      <c r="G233" s="2">
        <v>112.784956206673</v>
      </c>
      <c r="H233" s="2">
        <v>137.207402812279</v>
      </c>
      <c r="I233" s="2">
        <v>144.489012476532</v>
      </c>
      <c r="J233" s="2">
        <v>135.990925744338</v>
      </c>
      <c r="K233" s="2">
        <v>133.947019927069</v>
      </c>
    </row>
    <row r="234">
      <c r="A234" s="2">
        <v>232.0</v>
      </c>
      <c r="B234" s="2">
        <v>232.0</v>
      </c>
      <c r="C234" s="2">
        <v>0.0</v>
      </c>
      <c r="D234" s="2">
        <v>2.04374232406102</v>
      </c>
      <c r="E234" s="2">
        <v>32.8992152183387</v>
      </c>
      <c r="F234" s="2">
        <v>75.4229839074636</v>
      </c>
      <c r="G234" s="2">
        <v>113.031411594598</v>
      </c>
      <c r="H234" s="2">
        <v>137.401071838306</v>
      </c>
      <c r="I234" s="2">
        <v>144.584708927947</v>
      </c>
      <c r="J234" s="2">
        <v>135.941495158397</v>
      </c>
      <c r="K234" s="2">
        <v>133.704906420587</v>
      </c>
    </row>
    <row r="235">
      <c r="A235" s="2">
        <v>233.0</v>
      </c>
      <c r="B235" s="2">
        <v>233.0</v>
      </c>
      <c r="C235" s="2">
        <v>0.0</v>
      </c>
      <c r="D235" s="2">
        <v>2.09644237533529</v>
      </c>
      <c r="E235" s="2">
        <v>33.0921427628883</v>
      </c>
      <c r="F235" s="2">
        <v>75.6744739021911</v>
      </c>
      <c r="G235" s="2">
        <v>113.280550488885</v>
      </c>
      <c r="H235" s="2">
        <v>137.595005749392</v>
      </c>
      <c r="I235" s="2">
        <v>144.677704492554</v>
      </c>
      <c r="J235" s="2">
        <v>135.885876830242</v>
      </c>
      <c r="K235" s="2">
        <v>133.451061475268</v>
      </c>
    </row>
    <row r="236">
      <c r="A236" s="2">
        <v>234.0</v>
      </c>
      <c r="B236" s="2">
        <v>234.0</v>
      </c>
      <c r="C236" s="2">
        <v>0.0</v>
      </c>
      <c r="D236" s="2">
        <v>2.15115204923096</v>
      </c>
      <c r="E236" s="2">
        <v>33.2894085381636</v>
      </c>
      <c r="F236" s="2">
        <v>75.9301598861127</v>
      </c>
      <c r="G236" s="2">
        <v>113.532351218772</v>
      </c>
      <c r="H236" s="2">
        <v>137.789176182018</v>
      </c>
      <c r="I236" s="2">
        <v>144.767973393834</v>
      </c>
      <c r="J236" s="2">
        <v>135.824065965892</v>
      </c>
      <c r="K236" s="2">
        <v>133.185466958828</v>
      </c>
    </row>
    <row r="237">
      <c r="A237" s="2">
        <v>235.0</v>
      </c>
      <c r="B237" s="2">
        <v>235.0</v>
      </c>
      <c r="C237" s="2">
        <v>0.0</v>
      </c>
      <c r="D237" s="2">
        <v>2.20792002272192</v>
      </c>
      <c r="E237" s="2">
        <v>33.4910266012747</v>
      </c>
      <c r="F237" s="2">
        <v>76.1900338205468</v>
      </c>
      <c r="G237" s="2">
        <v>113.786791475105</v>
      </c>
      <c r="H237" s="2">
        <v>137.983554247313</v>
      </c>
      <c r="I237" s="2">
        <v>144.85548968735</v>
      </c>
      <c r="J237" s="2">
        <v>135.756058311584</v>
      </c>
      <c r="K237" s="2">
        <v>132.9081059841</v>
      </c>
    </row>
    <row r="238">
      <c r="A238" s="2">
        <v>236.0</v>
      </c>
      <c r="B238" s="2">
        <v>236.0</v>
      </c>
      <c r="C238" s="2">
        <v>0.0</v>
      </c>
      <c r="D238" s="2">
        <v>2.26679581365844</v>
      </c>
      <c r="E238" s="2">
        <v>33.6970108168623</v>
      </c>
      <c r="F238" s="2">
        <v>76.454087116627</v>
      </c>
      <c r="G238" s="2">
        <v>114.043848372449</v>
      </c>
      <c r="H238" s="2">
        <v>138.17811070821</v>
      </c>
      <c r="I238" s="2">
        <v>144.940227547848</v>
      </c>
      <c r="J238" s="2">
        <v>135.681850542015</v>
      </c>
      <c r="K238" s="2">
        <v>132.618963515561</v>
      </c>
    </row>
    <row r="239">
      <c r="A239" s="2">
        <v>237.0</v>
      </c>
      <c r="B239" s="2">
        <v>237.0</v>
      </c>
      <c r="C239" s="2">
        <v>0.0</v>
      </c>
      <c r="D239" s="2">
        <v>2.32782979566028</v>
      </c>
      <c r="E239" s="2">
        <v>33.9073749455707</v>
      </c>
      <c r="F239" s="2">
        <v>76.722310701743</v>
      </c>
      <c r="G239" s="2">
        <v>114.303498448549</v>
      </c>
      <c r="H239" s="2">
        <v>138.372815890197</v>
      </c>
      <c r="I239" s="2">
        <v>145.022161082095</v>
      </c>
      <c r="J239" s="2">
        <v>135.601439953471</v>
      </c>
      <c r="K239" s="2">
        <v>132.318025944661</v>
      </c>
    </row>
    <row r="240">
      <c r="A240" s="2">
        <v>238.0</v>
      </c>
      <c r="B240" s="2">
        <v>238.0</v>
      </c>
      <c r="C240" s="2">
        <v>0.0</v>
      </c>
      <c r="D240" s="2">
        <v>2.39107312323018</v>
      </c>
      <c r="E240" s="2">
        <v>34.1221324955556</v>
      </c>
      <c r="F240" s="2">
        <v>76.9946948798289</v>
      </c>
      <c r="G240" s="2">
        <v>114.565717579358</v>
      </c>
      <c r="H240" s="2">
        <v>138.567639680313</v>
      </c>
      <c r="I240" s="2">
        <v>145.101264428844</v>
      </c>
      <c r="J240" s="2">
        <v>135.514824676232</v>
      </c>
      <c r="K240" s="2">
        <v>132.00528152647</v>
      </c>
    </row>
    <row r="241">
      <c r="A241" s="2">
        <v>239.0</v>
      </c>
      <c r="B241" s="2">
        <v>239.0</v>
      </c>
      <c r="C241" s="2">
        <v>0.0</v>
      </c>
      <c r="D241" s="2">
        <v>2.45657784345317</v>
      </c>
      <c r="E241" s="2">
        <v>34.3412971063252</v>
      </c>
      <c r="F241" s="2">
        <v>77.2712297320163</v>
      </c>
      <c r="G241" s="2">
        <v>114.83048125235</v>
      </c>
      <c r="H241" s="2">
        <v>138.762551578316</v>
      </c>
      <c r="I241" s="2">
        <v>145.177511524126</v>
      </c>
      <c r="J241" s="2">
        <v>135.422003074259</v>
      </c>
      <c r="K241" s="2">
        <v>131.680719313865</v>
      </c>
    </row>
    <row r="242">
      <c r="A242" s="2">
        <v>240.0</v>
      </c>
      <c r="B242" s="2">
        <v>240.0</v>
      </c>
      <c r="C242" s="2">
        <v>0.0</v>
      </c>
      <c r="D242" s="2">
        <v>2.52439663046728</v>
      </c>
      <c r="E242" s="2">
        <v>34.5648818666508</v>
      </c>
      <c r="F242" s="2">
        <v>77.55190443643</v>
      </c>
      <c r="G242" s="2">
        <v>115.097764123904</v>
      </c>
      <c r="H242" s="2">
        <v>138.957520644607</v>
      </c>
      <c r="I242" s="2">
        <v>145.250876536959</v>
      </c>
      <c r="J242" s="2">
        <v>135.322974771014</v>
      </c>
      <c r="K242" s="2">
        <v>131.344331100627</v>
      </c>
    </row>
    <row r="243">
      <c r="A243" s="2">
        <v>241.0</v>
      </c>
      <c r="B243" s="2">
        <v>241.0</v>
      </c>
      <c r="C243" s="2">
        <v>0.0</v>
      </c>
      <c r="D243" s="2">
        <v>2.59458294271244</v>
      </c>
      <c r="E243" s="2">
        <v>34.7928998422051</v>
      </c>
      <c r="F243" s="2">
        <v>77.836707828991</v>
      </c>
      <c r="G243" s="2">
        <v>115.367540419621</v>
      </c>
      <c r="H243" s="2">
        <v>139.152515609639</v>
      </c>
      <c r="I243" s="2">
        <v>145.321333598083</v>
      </c>
      <c r="J243" s="2">
        <v>135.217739889689</v>
      </c>
      <c r="K243" s="2">
        <v>130.996110023948</v>
      </c>
    </row>
    <row r="244">
      <c r="A244" s="2">
        <v>242.0</v>
      </c>
      <c r="B244" s="2">
        <v>242.0</v>
      </c>
      <c r="C244" s="2">
        <v>0.0</v>
      </c>
      <c r="D244" s="2">
        <v>2.66719094334754</v>
      </c>
      <c r="E244" s="2">
        <v>35.025363901478</v>
      </c>
      <c r="F244" s="2">
        <v>78.1256282071092</v>
      </c>
      <c r="G244" s="2">
        <v>115.63978376537</v>
      </c>
      <c r="H244" s="2">
        <v>139.347504771303</v>
      </c>
      <c r="I244" s="2">
        <v>145.388856793282</v>
      </c>
      <c r="J244" s="2">
        <v>135.106299166155</v>
      </c>
      <c r="K244" s="2">
        <v>130.636050907247</v>
      </c>
    </row>
    <row r="245">
      <c r="A245" s="2">
        <v>243.0</v>
      </c>
      <c r="B245" s="2">
        <v>243.0</v>
      </c>
      <c r="C245" s="2">
        <v>0.0</v>
      </c>
      <c r="D245" s="2">
        <v>2.74227541834394</v>
      </c>
      <c r="E245" s="2">
        <v>35.2622865771234</v>
      </c>
      <c r="F245" s="2">
        <v>78.4186532179634</v>
      </c>
      <c r="G245" s="2">
        <v>115.914467145839</v>
      </c>
      <c r="H245" s="2">
        <v>139.542456047328</v>
      </c>
      <c r="I245" s="2">
        <v>145.453420319288</v>
      </c>
      <c r="J245" s="2">
        <v>134.988654212994</v>
      </c>
      <c r="K245" s="2">
        <v>130.264150753306</v>
      </c>
    </row>
    <row r="246">
      <c r="A246" s="2">
        <v>244.0</v>
      </c>
      <c r="B246" s="2">
        <v>244.0</v>
      </c>
      <c r="C246" s="2">
        <v>0.0</v>
      </c>
      <c r="D246" s="2">
        <v>2.81989189352974</v>
      </c>
      <c r="E246" s="2">
        <v>35.5036804421768</v>
      </c>
      <c r="F246" s="2">
        <v>78.7157702329815</v>
      </c>
      <c r="G246" s="2">
        <v>116.191563135228</v>
      </c>
      <c r="H246" s="2">
        <v>139.737336972736</v>
      </c>
      <c r="I246" s="2">
        <v>145.514998191541</v>
      </c>
      <c r="J246" s="2">
        <v>134.864806867141</v>
      </c>
      <c r="K246" s="2">
        <v>129.880407625666</v>
      </c>
    </row>
    <row r="247">
      <c r="A247" s="2">
        <v>245.0</v>
      </c>
      <c r="B247" s="2">
        <v>245.0</v>
      </c>
      <c r="C247" s="2">
        <v>0.0</v>
      </c>
      <c r="D247" s="2">
        <v>2.90009634854895</v>
      </c>
      <c r="E247" s="2">
        <v>35.7495574364802</v>
      </c>
      <c r="F247" s="2">
        <v>79.0169657072812</v>
      </c>
      <c r="G247" s="2">
        <v>116.471043521018</v>
      </c>
      <c r="H247" s="2">
        <v>139.932114731674</v>
      </c>
      <c r="I247" s="2">
        <v>145.573564769061</v>
      </c>
      <c r="J247" s="2">
        <v>134.734760296117</v>
      </c>
      <c r="K247" s="2">
        <v>129.484822684515</v>
      </c>
    </row>
    <row r="248">
      <c r="A248" s="2">
        <v>246.0</v>
      </c>
      <c r="B248" s="2">
        <v>246.0</v>
      </c>
      <c r="C248" s="2">
        <v>0.0</v>
      </c>
      <c r="D248" s="2">
        <v>2.98294548709238</v>
      </c>
      <c r="E248" s="2">
        <v>35.9999296328497</v>
      </c>
      <c r="F248" s="2">
        <v>79.3222259230695</v>
      </c>
      <c r="G248" s="2">
        <v>116.752879743543</v>
      </c>
      <c r="H248" s="2">
        <v>140.126756118641</v>
      </c>
      <c r="I248" s="2">
        <v>145.629094131032</v>
      </c>
      <c r="J248" s="2">
        <v>134.59851766408</v>
      </c>
      <c r="K248" s="2">
        <v>129.077397863523</v>
      </c>
    </row>
    <row r="249">
      <c r="A249" s="2">
        <v>247.0</v>
      </c>
      <c r="B249" s="2">
        <v>247.0</v>
      </c>
      <c r="C249" s="2">
        <v>0.0</v>
      </c>
      <c r="D249" s="2">
        <v>3.06849634036622</v>
      </c>
      <c r="E249" s="2">
        <v>36.2548083167718</v>
      </c>
      <c r="F249" s="2">
        <v>79.6315361407128</v>
      </c>
      <c r="G249" s="2">
        <v>117.037042438796</v>
      </c>
      <c r="H249" s="2">
        <v>140.321227665821</v>
      </c>
      <c r="I249" s="2">
        <v>145.681560896962</v>
      </c>
      <c r="J249" s="2">
        <v>134.4560837601</v>
      </c>
      <c r="K249" s="2">
        <v>128.658138780393</v>
      </c>
    </row>
    <row r="250">
      <c r="A250" s="2">
        <v>248.0</v>
      </c>
      <c r="B250" s="2">
        <v>248.0</v>
      </c>
      <c r="C250" s="2">
        <v>0.0</v>
      </c>
      <c r="D250" s="2">
        <v>3.15680669978497</v>
      </c>
      <c r="E250" s="2">
        <v>36.514205103295</v>
      </c>
      <c r="F250" s="2">
        <v>79.9448816118834</v>
      </c>
      <c r="G250" s="2">
        <v>117.323501936221</v>
      </c>
      <c r="H250" s="2">
        <v>140.515495384916</v>
      </c>
      <c r="I250" s="2">
        <v>145.730939080873</v>
      </c>
      <c r="J250" s="2">
        <v>134.307462808429</v>
      </c>
      <c r="K250" s="2">
        <v>128.227051035465</v>
      </c>
    </row>
    <row r="251">
      <c r="A251" s="2">
        <v>249.0</v>
      </c>
      <c r="B251" s="2">
        <v>249.0</v>
      </c>
      <c r="C251" s="2">
        <v>0.0</v>
      </c>
      <c r="D251" s="2">
        <v>3.24793466466529</v>
      </c>
      <c r="E251" s="2">
        <v>36.778130924671</v>
      </c>
      <c r="F251" s="2">
        <v>80.2622466983306</v>
      </c>
      <c r="G251" s="2">
        <v>117.612227867892</v>
      </c>
      <c r="H251" s="2">
        <v>140.709525070968</v>
      </c>
      <c r="I251" s="2">
        <v>145.777203193061</v>
      </c>
      <c r="J251" s="2">
        <v>134.152660481175</v>
      </c>
      <c r="K251" s="2">
        <v>127.784143680258</v>
      </c>
    </row>
    <row r="252">
      <c r="A252" s="2">
        <v>250.0</v>
      </c>
      <c r="B252" s="2">
        <v>250.0</v>
      </c>
      <c r="C252" s="2">
        <v>0.0</v>
      </c>
      <c r="D252" s="2">
        <v>3.34193881397461</v>
      </c>
      <c r="E252" s="2">
        <v>37.0465965063119</v>
      </c>
      <c r="F252" s="2">
        <v>80.5836152942946</v>
      </c>
      <c r="G252" s="2">
        <v>117.903189355017</v>
      </c>
      <c r="H252" s="2">
        <v>140.903282149209</v>
      </c>
      <c r="I252" s="2">
        <v>145.820327692455</v>
      </c>
      <c r="J252" s="2">
        <v>133.991682886835</v>
      </c>
      <c r="K252" s="2">
        <v>127.329427570138</v>
      </c>
    </row>
    <row r="253">
      <c r="A253" s="2">
        <v>251.0</v>
      </c>
      <c r="B253" s="2">
        <v>251.0</v>
      </c>
      <c r="C253" s="2">
        <v>0.0</v>
      </c>
      <c r="D253" s="2">
        <v>3.43887806041219</v>
      </c>
      <c r="E253" s="2">
        <v>37.3196120961743</v>
      </c>
      <c r="F253" s="2">
        <v>80.9089705966743</v>
      </c>
      <c r="G253" s="2">
        <v>118.19635490683</v>
      </c>
      <c r="H253" s="2">
        <v>141.096731752397</v>
      </c>
      <c r="I253" s="2">
        <v>145.86028726585</v>
      </c>
      <c r="J253" s="2">
        <v>133.824537071903</v>
      </c>
      <c r="K253" s="2">
        <v>126.862916279396</v>
      </c>
    </row>
    <row r="254">
      <c r="A254" s="2">
        <v>252.0</v>
      </c>
      <c r="B254" s="2">
        <v>252.0</v>
      </c>
      <c r="C254" s="2">
        <v>0.0</v>
      </c>
      <c r="D254" s="2">
        <v>3.53881177925543</v>
      </c>
      <c r="E254" s="2">
        <v>37.5971878298188</v>
      </c>
      <c r="F254" s="2">
        <v>81.2382954393057</v>
      </c>
      <c r="G254" s="2">
        <v>118.491692586138</v>
      </c>
      <c r="H254" s="2">
        <v>141.289838636869</v>
      </c>
      <c r="I254" s="2">
        <v>145.897056449633</v>
      </c>
      <c r="J254" s="2">
        <v>133.651230293277</v>
      </c>
      <c r="K254" s="2">
        <v>126.384624908575</v>
      </c>
    </row>
    <row r="255">
      <c r="A255" s="2">
        <v>253.0</v>
      </c>
      <c r="B255" s="2">
        <v>253.0</v>
      </c>
      <c r="C255" s="2">
        <v>0.0</v>
      </c>
      <c r="D255" s="2">
        <v>3.64179966241153</v>
      </c>
      <c r="E255" s="2">
        <v>37.8793334601845</v>
      </c>
      <c r="F255" s="2">
        <v>81.5715720634705</v>
      </c>
      <c r="G255" s="2">
        <v>118.789169908445</v>
      </c>
      <c r="H255" s="2">
        <v>141.482567259942</v>
      </c>
      <c r="I255" s="2">
        <v>145.930609908895</v>
      </c>
      <c r="J255" s="2">
        <v>133.471770520054</v>
      </c>
      <c r="K255" s="2">
        <v>125.894571001218</v>
      </c>
    </row>
    <row r="256">
      <c r="A256" s="2">
        <v>254.0</v>
      </c>
      <c r="B256" s="2">
        <v>254.0</v>
      </c>
      <c r="C256" s="2">
        <v>0.0</v>
      </c>
      <c r="D256" s="2">
        <v>3.7479016203865</v>
      </c>
      <c r="E256" s="2">
        <v>38.1660582074805</v>
      </c>
      <c r="F256" s="2">
        <v>81.9087819919134</v>
      </c>
      <c r="G256" s="2">
        <v>119.08875378286</v>
      </c>
      <c r="H256" s="2">
        <v>141.674881812161</v>
      </c>
      <c r="I256" s="2">
        <v>145.960922571847</v>
      </c>
      <c r="J256" s="2">
        <v>133.286166675902</v>
      </c>
      <c r="K256" s="2">
        <v>125.392775029511</v>
      </c>
    </row>
    <row r="257">
      <c r="A257" s="2">
        <v>255.0</v>
      </c>
      <c r="B257" s="2">
        <v>255.0</v>
      </c>
      <c r="C257" s="2">
        <v>0.0</v>
      </c>
      <c r="D257" s="2">
        <v>3.85717791805878</v>
      </c>
      <c r="E257" s="2">
        <v>38.4573711345331</v>
      </c>
      <c r="F257" s="2">
        <v>82.2499063789188</v>
      </c>
      <c r="G257" s="2">
        <v>119.390410698279</v>
      </c>
      <c r="H257" s="2">
        <v>141.866746156753</v>
      </c>
      <c r="I257" s="2">
        <v>145.98796927525</v>
      </c>
      <c r="J257" s="2">
        <v>133.094427935113</v>
      </c>
      <c r="K257" s="2">
        <v>124.879259223833</v>
      </c>
    </row>
    <row r="258">
      <c r="A258" s="2">
        <v>256.0</v>
      </c>
      <c r="B258" s="2">
        <v>256.0</v>
      </c>
      <c r="C258" s="2">
        <v>0.0</v>
      </c>
      <c r="D258" s="2">
        <v>3.96968902131359</v>
      </c>
      <c r="E258" s="2">
        <v>38.7532808605474</v>
      </c>
      <c r="F258" s="2">
        <v>82.5949257512715</v>
      </c>
      <c r="G258" s="2">
        <v>119.694106581144</v>
      </c>
      <c r="H258" s="2">
        <v>142.058123858413</v>
      </c>
      <c r="I258" s="2">
        <v>146.011724993361</v>
      </c>
      <c r="J258" s="2">
        <v>132.896564177538</v>
      </c>
      <c r="K258" s="2">
        <v>124.354048450383</v>
      </c>
    </row>
    <row r="259">
      <c r="A259" s="2">
        <v>257.0</v>
      </c>
      <c r="B259" s="2">
        <v>257.0</v>
      </c>
      <c r="C259" s="2">
        <v>0.0</v>
      </c>
      <c r="D259" s="2">
        <v>4.08549549584372</v>
      </c>
      <c r="E259" s="2">
        <v>39.0537954164963</v>
      </c>
      <c r="F259" s="2">
        <v>82.9438198970296</v>
      </c>
      <c r="G259" s="2">
        <v>119.999806758794</v>
      </c>
      <c r="H259" s="2">
        <v>142.248978242597</v>
      </c>
      <c r="I259" s="2">
        <v>146.032165000151</v>
      </c>
      <c r="J259" s="2">
        <v>132.692586255989</v>
      </c>
      <c r="K259" s="2">
        <v>123.817170724563</v>
      </c>
    </row>
    <row r="260">
      <c r="A260" s="2">
        <v>258.0</v>
      </c>
      <c r="B260" s="2">
        <v>258.0</v>
      </c>
      <c r="C260" s="2">
        <v>0.0</v>
      </c>
      <c r="D260" s="2">
        <v>4.2046582124079</v>
      </c>
      <c r="E260" s="2">
        <v>39.3589227573599</v>
      </c>
      <c r="F260" s="2">
        <v>83.296568336108</v>
      </c>
      <c r="G260" s="2">
        <v>120.307476205363</v>
      </c>
      <c r="H260" s="2">
        <v>142.439272308089</v>
      </c>
      <c r="I260" s="2">
        <v>146.049264388185</v>
      </c>
      <c r="J260" s="2">
        <v>132.48250505472</v>
      </c>
      <c r="K260" s="2">
        <v>123.268655624159</v>
      </c>
    </row>
    <row r="261">
      <c r="A261" s="2">
        <v>259.0</v>
      </c>
      <c r="B261" s="2">
        <v>259.0</v>
      </c>
      <c r="C261" s="2">
        <v>0.0</v>
      </c>
      <c r="D261" s="2">
        <v>4.32723800219702</v>
      </c>
      <c r="E261" s="2">
        <v>39.6686700815757</v>
      </c>
      <c r="F261" s="2">
        <v>83.6531497179601</v>
      </c>
      <c r="G261" s="2">
        <v>120.617079240512</v>
      </c>
      <c r="H261" s="2">
        <v>142.628968857073</v>
      </c>
      <c r="I261" s="2">
        <v>146.06299869709</v>
      </c>
      <c r="J261" s="2">
        <v>132.266332680614</v>
      </c>
      <c r="K261" s="2">
        <v>122.708536443622</v>
      </c>
    </row>
    <row r="262">
      <c r="A262" s="2">
        <v>260.0</v>
      </c>
      <c r="B262" s="2">
        <v>260.0</v>
      </c>
      <c r="C262" s="2">
        <v>0.0</v>
      </c>
      <c r="D262" s="2">
        <v>4.463959592226</v>
      </c>
      <c r="E262" s="2">
        <v>40.0094512611116</v>
      </c>
      <c r="F262" s="2">
        <v>84.0437463543386</v>
      </c>
      <c r="G262" s="2">
        <v>120.95462268293</v>
      </c>
      <c r="H262" s="2">
        <v>142.833755725123</v>
      </c>
      <c r="I262" s="2">
        <v>146.07405176758</v>
      </c>
      <c r="J262" s="2">
        <v>132.025286651126</v>
      </c>
      <c r="K262" s="2">
        <v>122.088686993541</v>
      </c>
    </row>
    <row r="263">
      <c r="A263" s="2">
        <v>261.0</v>
      </c>
      <c r="B263" s="2">
        <v>261.0</v>
      </c>
      <c r="C263" s="2">
        <v>0.0</v>
      </c>
      <c r="D263" s="2">
        <v>4.6048406802231</v>
      </c>
      <c r="E263" s="2">
        <v>40.355670864408</v>
      </c>
      <c r="F263" s="2">
        <v>84.4387873722615</v>
      </c>
      <c r="G263" s="2">
        <v>121.294346459127</v>
      </c>
      <c r="H263" s="2">
        <v>143.037749338465</v>
      </c>
      <c r="I263" s="2">
        <v>146.081095845713</v>
      </c>
      <c r="J263" s="2">
        <v>131.777123100267</v>
      </c>
      <c r="K263" s="2">
        <v>121.455309309598</v>
      </c>
    </row>
    <row r="264">
      <c r="A264" s="2">
        <v>262.0</v>
      </c>
      <c r="B264" s="2">
        <v>262.0</v>
      </c>
      <c r="C264" s="2">
        <v>0.0</v>
      </c>
      <c r="D264" s="2">
        <v>4.7499589367956</v>
      </c>
      <c r="E264" s="2">
        <v>40.7073366180238</v>
      </c>
      <c r="F264" s="2">
        <v>84.8382436671377</v>
      </c>
      <c r="G264" s="2">
        <v>121.636203417859</v>
      </c>
      <c r="H264" s="2">
        <v>143.240901386481</v>
      </c>
      <c r="I264" s="2">
        <v>146.084100110879</v>
      </c>
      <c r="J264" s="2">
        <v>131.521859268904</v>
      </c>
      <c r="K264" s="2">
        <v>120.80845575507</v>
      </c>
    </row>
    <row r="265">
      <c r="A265" s="2">
        <v>263.0</v>
      </c>
      <c r="B265" s="2">
        <v>263.0</v>
      </c>
      <c r="C265" s="2">
        <v>0.0</v>
      </c>
      <c r="D265" s="2">
        <v>4.8993917745932</v>
      </c>
      <c r="E265" s="2">
        <v>41.0644551699856</v>
      </c>
      <c r="F265" s="2">
        <v>85.242084964214</v>
      </c>
      <c r="G265" s="2">
        <v>121.980145560623</v>
      </c>
      <c r="H265" s="2">
        <v>143.443163337631</v>
      </c>
      <c r="I265" s="2">
        <v>146.083034372773</v>
      </c>
      <c r="J265" s="2">
        <v>131.259514004545</v>
      </c>
      <c r="K265" s="2">
        <v>120.148184066761</v>
      </c>
    </row>
    <row r="266">
      <c r="A266" s="2">
        <v>264.0</v>
      </c>
      <c r="B266" s="2">
        <v>264.0</v>
      </c>
      <c r="C266" s="2">
        <v>0.0</v>
      </c>
      <c r="D266" s="2">
        <v>5.05321682220763</v>
      </c>
      <c r="E266" s="2">
        <v>41.427033130233</v>
      </c>
      <c r="F266" s="2">
        <v>85.6502807378332</v>
      </c>
      <c r="G266" s="2">
        <v>122.326124481806</v>
      </c>
      <c r="H266" s="2">
        <v>143.644486194033</v>
      </c>
      <c r="I266" s="2">
        <v>146.077868034437</v>
      </c>
      <c r="J266" s="2">
        <v>130.990105825188</v>
      </c>
      <c r="K266" s="2">
        <v>119.47455409488</v>
      </c>
    </row>
    <row r="267">
      <c r="A267" s="2">
        <v>265.0</v>
      </c>
      <c r="B267" s="2">
        <v>265.0</v>
      </c>
      <c r="C267" s="2">
        <v>0.0</v>
      </c>
      <c r="D267" s="2">
        <v>5.21151119732801</v>
      </c>
      <c r="E267" s="2">
        <v>41.795075714277</v>
      </c>
      <c r="F267" s="2">
        <v>86.0627990516813</v>
      </c>
      <c r="G267" s="2">
        <v>122.674090842462</v>
      </c>
      <c r="H267" s="2">
        <v>143.844820846055</v>
      </c>
      <c r="I267" s="2">
        <v>146.06857144477</v>
      </c>
      <c r="J267" s="2">
        <v>130.713655376386</v>
      </c>
      <c r="K267" s="2">
        <v>118.787632174692</v>
      </c>
    </row>
    <row r="268">
      <c r="A268" s="2">
        <v>266.0</v>
      </c>
      <c r="B268" s="2">
        <v>266.0</v>
      </c>
      <c r="C268" s="2">
        <v>0.0</v>
      </c>
      <c r="D268" s="2">
        <v>5.37435212955371</v>
      </c>
      <c r="E268" s="2">
        <v>42.1685880679395</v>
      </c>
      <c r="F268" s="2">
        <v>86.479607734196</v>
      </c>
      <c r="G268" s="2">
        <v>123.023994949343</v>
      </c>
      <c r="H268" s="2">
        <v>144.044117795148</v>
      </c>
      <c r="I268" s="2">
        <v>146.055114631088</v>
      </c>
      <c r="J268" s="2">
        <v>130.430183041907</v>
      </c>
      <c r="K268" s="2">
        <v>118.087487051658</v>
      </c>
    </row>
    <row r="269">
      <c r="A269" s="2">
        <v>267.0</v>
      </c>
      <c r="B269" s="2">
        <v>267.0</v>
      </c>
      <c r="C269" s="2">
        <v>0.0</v>
      </c>
      <c r="D269" s="2">
        <v>5.54181642469794</v>
      </c>
      <c r="E269" s="2">
        <v>42.5475742849998</v>
      </c>
      <c r="F269" s="2">
        <v>86.9006735176357</v>
      </c>
      <c r="G269" s="2">
        <v>123.375786323275</v>
      </c>
      <c r="H269" s="2">
        <v>144.242327330915</v>
      </c>
      <c r="I269" s="2">
        <v>146.037468174304</v>
      </c>
      <c r="J269" s="2">
        <v>130.139710596143</v>
      </c>
      <c r="K269" s="2">
        <v>117.374192921943</v>
      </c>
    </row>
    <row r="270">
      <c r="A270" s="2">
        <v>268.0</v>
      </c>
      <c r="B270" s="2">
        <v>268.0</v>
      </c>
      <c r="C270" s="2">
        <v>0.0</v>
      </c>
      <c r="D270" s="2">
        <v>5.71398061699365</v>
      </c>
      <c r="E270" s="2">
        <v>42.9320378058627</v>
      </c>
      <c r="F270" s="2">
        <v>87.325962421172</v>
      </c>
      <c r="G270" s="2">
        <v>123.729413926712</v>
      </c>
      <c r="H270" s="2">
        <v>144.439399516245</v>
      </c>
      <c r="I270" s="2">
        <v>146.015602899959</v>
      </c>
      <c r="J270" s="2">
        <v>129.842260548217</v>
      </c>
      <c r="K270" s="2">
        <v>116.647828353748</v>
      </c>
    </row>
    <row r="271">
      <c r="A271" s="2">
        <v>269.0</v>
      </c>
      <c r="B271" s="2">
        <v>269.0</v>
      </c>
      <c r="C271" s="2">
        <v>0.0</v>
      </c>
      <c r="D271" s="2">
        <v>5.89092084066761</v>
      </c>
      <c r="E271" s="2">
        <v>43.3219812419844</v>
      </c>
      <c r="F271" s="2">
        <v>87.7554395939428</v>
      </c>
      <c r="G271" s="2">
        <v>124.084826068032</v>
      </c>
      <c r="H271" s="2">
        <v>144.635284179695</v>
      </c>
      <c r="I271" s="2">
        <v>145.98948997228</v>
      </c>
      <c r="J271" s="2">
        <v>129.537856345637</v>
      </c>
      <c r="K271" s="2">
        <v>115.908476803155</v>
      </c>
    </row>
    <row r="272">
      <c r="A272" s="2">
        <v>270.0</v>
      </c>
      <c r="B272" s="2">
        <v>270.0</v>
      </c>
      <c r="C272" s="2">
        <v>0.0</v>
      </c>
      <c r="D272" s="2">
        <v>6.07271300132145</v>
      </c>
      <c r="E272" s="2">
        <v>43.7174067903531</v>
      </c>
      <c r="F272" s="2">
        <v>88.1890697152944</v>
      </c>
      <c r="G272" s="2">
        <v>124.441970647837</v>
      </c>
      <c r="H272" s="2">
        <v>144.829930919913</v>
      </c>
      <c r="I272" s="2">
        <v>145.959100604145</v>
      </c>
      <c r="J272" s="2">
        <v>129.226521739494</v>
      </c>
      <c r="K272" s="2">
        <v>115.156225556397</v>
      </c>
    </row>
    <row r="273">
      <c r="A273" s="2">
        <v>271.0</v>
      </c>
      <c r="B273" s="2">
        <v>271.0</v>
      </c>
      <c r="C273" s="2">
        <v>0.0</v>
      </c>
      <c r="D273" s="2">
        <v>6.25943227268909</v>
      </c>
      <c r="E273" s="2">
        <v>44.1183153505531</v>
      </c>
      <c r="F273" s="2">
        <v>88.6268162067345</v>
      </c>
      <c r="G273" s="2">
        <v>124.800794729821</v>
      </c>
      <c r="H273" s="2">
        <v>145.023289193343</v>
      </c>
      <c r="I273" s="2">
        <v>145.924406742776</v>
      </c>
      <c r="J273" s="2">
        <v>128.908282134634</v>
      </c>
      <c r="K273" s="2">
        <v>114.391168312697</v>
      </c>
    </row>
    <row r="274">
      <c r="A274" s="2">
        <v>272.0</v>
      </c>
      <c r="B274" s="2">
        <v>272.0</v>
      </c>
      <c r="C274" s="2">
        <v>0.0</v>
      </c>
      <c r="D274" s="2">
        <v>6.45115349236762</v>
      </c>
      <c r="E274" s="2">
        <v>44.5247073624435</v>
      </c>
      <c r="F274" s="2">
        <v>89.068642008709</v>
      </c>
      <c r="G274" s="2">
        <v>125.161244984059</v>
      </c>
      <c r="H274" s="2">
        <v>145.215308257625</v>
      </c>
      <c r="I274" s="2">
        <v>145.885380420395</v>
      </c>
      <c r="J274" s="2">
        <v>128.583163262777</v>
      </c>
      <c r="K274" s="2">
        <v>113.613402892922</v>
      </c>
    </row>
    <row r="275">
      <c r="A275" s="2">
        <v>273.0</v>
      </c>
      <c r="B275" s="2">
        <v>273.0</v>
      </c>
      <c r="C275" s="2">
        <v>0.0</v>
      </c>
      <c r="D275" s="2">
        <v>6.64795096039291</v>
      </c>
      <c r="E275" s="2">
        <v>44.9365824784116</v>
      </c>
      <c r="F275" s="2">
        <v>89.5145092734805</v>
      </c>
      <c r="G275" s="2">
        <v>125.523267490034</v>
      </c>
      <c r="H275" s="2">
        <v>145.405937142414</v>
      </c>
      <c r="I275" s="2">
        <v>145.841993925614</v>
      </c>
      <c r="J275" s="2">
        <v>128.251191580498</v>
      </c>
      <c r="K275" s="2">
        <v>112.823032150011</v>
      </c>
    </row>
    <row r="276">
      <c r="A276" s="2">
        <v>274.0</v>
      </c>
      <c r="B276" s="2">
        <v>274.0</v>
      </c>
      <c r="C276" s="2">
        <v>0.0</v>
      </c>
      <c r="D276" s="2">
        <v>6.84989831318562</v>
      </c>
      <c r="E276" s="2">
        <v>45.3539394324459</v>
      </c>
      <c r="F276" s="2">
        <v>89.9643793017974</v>
      </c>
      <c r="G276" s="2">
        <v>125.886807774105</v>
      </c>
      <c r="H276" s="2">
        <v>145.595124796924</v>
      </c>
      <c r="I276" s="2">
        <v>145.794220053303</v>
      </c>
      <c r="J276" s="2">
        <v>127.912394609604</v>
      </c>
      <c r="K276" s="2">
        <v>112.020164624426</v>
      </c>
    </row>
    <row r="277">
      <c r="A277" s="2">
        <v>275.0</v>
      </c>
      <c r="B277" s="2">
        <v>275.0</v>
      </c>
      <c r="C277" s="2">
        <v>0.0</v>
      </c>
      <c r="D277" s="2">
        <v>7.05706854783649</v>
      </c>
      <c r="E277" s="2">
        <v>45.7767761507084</v>
      </c>
      <c r="F277" s="2">
        <v>90.4182126433172</v>
      </c>
      <c r="G277" s="2">
        <v>126.251810853364</v>
      </c>
      <c r="H277" s="2">
        <v>145.782820050684</v>
      </c>
      <c r="I277" s="2">
        <v>145.742031967857</v>
      </c>
      <c r="J277" s="2">
        <v>127.566800687803</v>
      </c>
      <c r="K277" s="2">
        <v>111.204914261751</v>
      </c>
    </row>
    <row r="278">
      <c r="A278" s="2">
        <v>276.0</v>
      </c>
      <c r="B278" s="2">
        <v>276.0</v>
      </c>
      <c r="C278" s="2">
        <v>0.0</v>
      </c>
      <c r="D278" s="2">
        <v>7.26953396885627</v>
      </c>
      <c r="E278" s="2">
        <v>46.2050897073001</v>
      </c>
      <c r="F278" s="2">
        <v>90.8759690454231</v>
      </c>
      <c r="G278" s="2">
        <v>126.618221177892</v>
      </c>
      <c r="H278" s="2">
        <v>145.968971553452</v>
      </c>
      <c r="I278" s="2">
        <v>145.685403145195</v>
      </c>
      <c r="J278" s="2">
        <v>127.214438914332</v>
      </c>
      <c r="K278" s="2">
        <v>110.377400517628</v>
      </c>
    </row>
    <row r="279">
      <c r="A279" s="2">
        <v>277.0</v>
      </c>
      <c r="B279" s="2">
        <v>277.0</v>
      </c>
      <c r="C279" s="2">
        <v>0.0</v>
      </c>
      <c r="D279" s="2">
        <v>7.48736622611952</v>
      </c>
      <c r="E279" s="2">
        <v>46.6388764697027</v>
      </c>
      <c r="F279" s="2">
        <v>91.3376076164778</v>
      </c>
      <c r="G279" s="2">
        <v>126.985982760437</v>
      </c>
      <c r="H279" s="2">
        <v>146.153527834458</v>
      </c>
      <c r="I279" s="2">
        <v>145.624307334856</v>
      </c>
      <c r="J279" s="2">
        <v>126.855338990024</v>
      </c>
      <c r="K279" s="2">
        <v>109.537748162569</v>
      </c>
    </row>
    <row r="280">
      <c r="A280" s="2">
        <v>278.0</v>
      </c>
      <c r="B280" s="2">
        <v>278.0</v>
      </c>
      <c r="C280" s="2">
        <v>0.0</v>
      </c>
      <c r="D280" s="2">
        <v>7.71063593613151</v>
      </c>
      <c r="E280" s="2">
        <v>47.0781315272188</v>
      </c>
      <c r="F280" s="2">
        <v>91.8030863722085</v>
      </c>
      <c r="G280" s="2">
        <v>127.355039004275</v>
      </c>
      <c r="H280" s="2">
        <v>146.336437498223</v>
      </c>
      <c r="I280" s="2">
        <v>145.558719154594</v>
      </c>
      <c r="J280" s="2">
        <v>126.489532227853</v>
      </c>
      <c r="K280" s="2">
        <v>108.686089175533</v>
      </c>
    </row>
    <row r="281">
      <c r="A281" s="2">
        <v>279.0</v>
      </c>
      <c r="B281" s="2">
        <v>279.0</v>
      </c>
      <c r="C281" s="2">
        <v>0.0</v>
      </c>
      <c r="D281" s="2">
        <v>7.93941312537125</v>
      </c>
      <c r="E281" s="2">
        <v>47.5228494828643</v>
      </c>
      <c r="F281" s="2">
        <v>92.2723628764592</v>
      </c>
      <c r="G281" s="2">
        <v>127.725332939603</v>
      </c>
      <c r="H281" s="2">
        <v>146.517648921261</v>
      </c>
      <c r="I281" s="2">
        <v>145.488613193057</v>
      </c>
      <c r="J281" s="2">
        <v>126.117050022449</v>
      </c>
      <c r="K281" s="2">
        <v>107.82256029841</v>
      </c>
    </row>
    <row r="282">
      <c r="A282" s="2">
        <v>280.0</v>
      </c>
      <c r="B282" s="2">
        <v>280.0</v>
      </c>
      <c r="C282" s="2">
        <v>0.0</v>
      </c>
      <c r="D282" s="2">
        <v>8.17376685613122</v>
      </c>
      <c r="E282" s="2">
        <v>47.9730238910065</v>
      </c>
      <c r="F282" s="2">
        <v>92.7453938036292</v>
      </c>
      <c r="G282" s="2">
        <v>128.096807073129</v>
      </c>
      <c r="H282" s="2">
        <v>146.697110472687</v>
      </c>
      <c r="I282" s="2">
        <v>145.413964629174</v>
      </c>
      <c r="J282" s="2">
        <v>125.737924883238</v>
      </c>
      <c r="K282" s="2">
        <v>106.947304959808</v>
      </c>
    </row>
    <row r="283">
      <c r="A283" s="2">
        <v>281.0</v>
      </c>
      <c r="B283" s="2">
        <v>281.0</v>
      </c>
      <c r="C283" s="2">
        <v>0.0</v>
      </c>
      <c r="D283" s="2">
        <v>8.41376535065059</v>
      </c>
      <c r="E283" s="2">
        <v>48.4286475244827</v>
      </c>
      <c r="F283" s="2">
        <v>93.2221351771869</v>
      </c>
      <c r="G283" s="2">
        <v>128.469403508604</v>
      </c>
      <c r="H283" s="2">
        <v>146.874770464438</v>
      </c>
      <c r="I283" s="2">
        <v>145.334748985066</v>
      </c>
      <c r="J283" s="2">
        <v>125.352189968355</v>
      </c>
      <c r="K283" s="2">
        <v>106.060472619433</v>
      </c>
    </row>
    <row r="284">
      <c r="A284" s="2">
        <v>282.0</v>
      </c>
      <c r="B284" s="2">
        <v>282.0</v>
      </c>
      <c r="C284" s="2">
        <v>0.0</v>
      </c>
      <c r="D284" s="2">
        <v>8.65947586014738</v>
      </c>
      <c r="E284" s="2">
        <v>48.8897122057978</v>
      </c>
      <c r="F284" s="2">
        <v>93.7025422310183</v>
      </c>
      <c r="G284" s="2">
        <v>128.843063878302</v>
      </c>
      <c r="H284" s="2">
        <v>147.050577175275</v>
      </c>
      <c r="I284" s="2">
        <v>145.250942250857</v>
      </c>
      <c r="J284" s="2">
        <v>124.959879313806</v>
      </c>
      <c r="K284" s="2">
        <v>105.162219363958</v>
      </c>
    </row>
    <row r="285">
      <c r="A285" s="2">
        <v>283.0</v>
      </c>
      <c r="B285" s="2">
        <v>283.0</v>
      </c>
      <c r="C285" s="2">
        <v>0.0</v>
      </c>
      <c r="D285" s="2">
        <v>8.9109644404795</v>
      </c>
      <c r="E285" s="2">
        <v>49.3562085155912</v>
      </c>
      <c r="F285" s="2">
        <v>94.1865691983835</v>
      </c>
      <c r="G285" s="2">
        <v>129.217729288438</v>
      </c>
      <c r="H285" s="2">
        <v>147.224478988676</v>
      </c>
      <c r="I285" s="2">
        <v>145.162521221469</v>
      </c>
      <c r="J285" s="2">
        <v>124.561028366503</v>
      </c>
      <c r="K285" s="2">
        <v>104.252708984009</v>
      </c>
    </row>
    <row r="286">
      <c r="A286" s="2">
        <v>284.0</v>
      </c>
      <c r="B286" s="2">
        <v>284.0</v>
      </c>
      <c r="C286" s="2">
        <v>0.0</v>
      </c>
      <c r="D286" s="2">
        <v>9.16829644359457</v>
      </c>
      <c r="E286" s="2">
        <v>49.8281266183943</v>
      </c>
      <c r="F286" s="2">
        <v>94.6741699856264</v>
      </c>
      <c r="G286" s="2">
        <v>129.593340589785</v>
      </c>
      <c r="H286" s="2">
        <v>147.39642412443</v>
      </c>
      <c r="I286" s="2">
        <v>145.069462634793</v>
      </c>
      <c r="J286" s="2">
        <v>124.155672497091</v>
      </c>
      <c r="K286" s="2">
        <v>103.332110599138</v>
      </c>
    </row>
    <row r="287">
      <c r="A287" s="2">
        <v>285.0</v>
      </c>
      <c r="B287" s="2">
        <v>285.0</v>
      </c>
      <c r="C287" s="2">
        <v>0.0</v>
      </c>
      <c r="D287" s="2">
        <v>9.43153594394736</v>
      </c>
      <c r="E287" s="2">
        <v>50.3054554125034</v>
      </c>
      <c r="F287" s="2">
        <v>95.1652975119579</v>
      </c>
      <c r="G287" s="2">
        <v>129.969838148413</v>
      </c>
      <c r="H287" s="2">
        <v>147.566360964483</v>
      </c>
      <c r="I287" s="2">
        <v>144.971744092298</v>
      </c>
      <c r="J287" s="2">
        <v>123.743848531276</v>
      </c>
      <c r="K287" s="2">
        <v>102.400601467548</v>
      </c>
    </row>
    <row r="288">
      <c r="A288" s="2">
        <v>286.0</v>
      </c>
      <c r="B288" s="2">
        <v>286.0</v>
      </c>
      <c r="C288" s="2">
        <v>0.0</v>
      </c>
      <c r="D288" s="2">
        <v>9.70074586754264</v>
      </c>
      <c r="E288" s="2">
        <v>50.7881827761564</v>
      </c>
      <c r="F288" s="2">
        <v>95.6599039015563</v>
      </c>
      <c r="G288" s="2">
        <v>130.347161899933</v>
      </c>
      <c r="H288" s="2">
        <v>147.734237926178</v>
      </c>
      <c r="I288" s="2">
        <v>144.869343735334</v>
      </c>
      <c r="J288" s="2">
        <v>123.325594219188</v>
      </c>
      <c r="K288" s="2">
        <v>101.458366308727</v>
      </c>
    </row>
    <row r="289">
      <c r="A289" s="2">
        <v>287.0</v>
      </c>
      <c r="B289" s="2">
        <v>287.0</v>
      </c>
      <c r="C289" s="2">
        <v>0.0</v>
      </c>
      <c r="D289" s="2">
        <v>9.97598814113958</v>
      </c>
      <c r="E289" s="2">
        <v>51.2762958448273</v>
      </c>
      <c r="F289" s="2">
        <v>96.1579407239465</v>
      </c>
      <c r="G289" s="2">
        <v>130.725251466136</v>
      </c>
      <c r="H289" s="2">
        <v>147.900003405167</v>
      </c>
      <c r="I289" s="2">
        <v>144.762239990587</v>
      </c>
      <c r="J289" s="2">
        <v>122.900947768563</v>
      </c>
      <c r="K289" s="2">
        <v>100.505596690294</v>
      </c>
    </row>
    <row r="290">
      <c r="A290" s="2">
        <v>288.0</v>
      </c>
      <c r="B290" s="2">
        <v>288.0</v>
      </c>
      <c r="C290" s="2">
        <v>0.0</v>
      </c>
      <c r="D290" s="2">
        <v>10.2573234718278</v>
      </c>
      <c r="E290" s="2">
        <v>51.7697807222525</v>
      </c>
      <c r="F290" s="2">
        <v>96.6593587851613</v>
      </c>
      <c r="G290" s="2">
        <v>131.104046101953</v>
      </c>
      <c r="H290" s="2">
        <v>148.063605913867</v>
      </c>
      <c r="I290" s="2">
        <v>144.650411906253</v>
      </c>
      <c r="J290" s="2">
        <v>122.469948376224</v>
      </c>
      <c r="K290" s="2">
        <v>99.5424921389613</v>
      </c>
    </row>
    <row r="291">
      <c r="A291" s="2">
        <v>289.0</v>
      </c>
      <c r="B291" s="2">
        <v>289.0</v>
      </c>
      <c r="C291" s="2">
        <v>0.0</v>
      </c>
      <c r="D291" s="2">
        <v>10.5448113043659</v>
      </c>
      <c r="E291" s="2">
        <v>52.2686224563266</v>
      </c>
      <c r="F291" s="2">
        <v>97.1641081118045</v>
      </c>
      <c r="G291" s="2">
        <v>131.483484684817</v>
      </c>
      <c r="H291" s="2">
        <v>148.22499407407</v>
      </c>
      <c r="I291" s="2">
        <v>144.533839145149</v>
      </c>
      <c r="J291" s="2">
        <v>122.032636217944</v>
      </c>
      <c r="K291" s="2">
        <v>98.5692603656752</v>
      </c>
    </row>
    <row r="292">
      <c r="A292" s="2">
        <v>290.0</v>
      </c>
      <c r="B292" s="2">
        <v>290.0</v>
      </c>
      <c r="C292" s="2">
        <v>0.0</v>
      </c>
      <c r="D292" s="2">
        <v>10.838509880693</v>
      </c>
      <c r="E292" s="2">
        <v>52.7728051723692</v>
      </c>
      <c r="F292" s="2">
        <v>97.6721380721022</v>
      </c>
      <c r="G292" s="2">
        <v>131.863505778199</v>
      </c>
      <c r="H292" s="2">
        <v>148.384116595921</v>
      </c>
      <c r="I292" s="2">
        <v>144.412501864728</v>
      </c>
      <c r="J292" s="2">
        <v>121.589052219894</v>
      </c>
      <c r="K292" s="2">
        <v>97.5861170982697</v>
      </c>
    </row>
    <row r="293">
      <c r="A293" s="2">
        <v>291.0</v>
      </c>
      <c r="B293" s="2">
        <v>291.0</v>
      </c>
      <c r="C293" s="2">
        <v>0.0</v>
      </c>
      <c r="D293" s="2">
        <v>11.1384761074412</v>
      </c>
      <c r="E293" s="2">
        <v>53.2823119207686</v>
      </c>
      <c r="F293" s="2">
        <v>98.1833972727589</v>
      </c>
      <c r="G293" s="2">
        <v>132.244047612586</v>
      </c>
      <c r="H293" s="2">
        <v>148.540922357729</v>
      </c>
      <c r="I293" s="2">
        <v>144.28638089504</v>
      </c>
      <c r="J293" s="2">
        <v>121.139238328992</v>
      </c>
      <c r="K293" s="2">
        <v>96.5932867792244</v>
      </c>
    </row>
    <row r="294">
      <c r="A294" s="2">
        <v>292.0</v>
      </c>
      <c r="B294" s="2">
        <v>292.0</v>
      </c>
      <c r="C294" s="2">
        <v>0.0</v>
      </c>
      <c r="D294" s="2">
        <v>11.4447657165472</v>
      </c>
      <c r="E294" s="2">
        <v>53.7971249347189</v>
      </c>
      <c r="F294" s="2">
        <v>98.697833751612</v>
      </c>
      <c r="G294" s="2">
        <v>132.625048133155</v>
      </c>
      <c r="H294" s="2">
        <v>148.695360269075</v>
      </c>
      <c r="I294" s="2">
        <v>144.155457405935</v>
      </c>
      <c r="J294" s="2">
        <v>120.683236983121</v>
      </c>
      <c r="K294" s="2">
        <v>95.5910019518262</v>
      </c>
    </row>
    <row r="295">
      <c r="A295" s="2">
        <v>293.0</v>
      </c>
      <c r="B295" s="2">
        <v>293.0</v>
      </c>
      <c r="C295" s="2">
        <v>0.0</v>
      </c>
      <c r="D295" s="2">
        <v>11.7574328342514</v>
      </c>
      <c r="E295" s="2">
        <v>54.3172250662546</v>
      </c>
      <c r="F295" s="2">
        <v>99.2153945799353</v>
      </c>
      <c r="G295" s="2">
        <v>133.006444916956</v>
      </c>
      <c r="H295" s="2">
        <v>148.847379570753</v>
      </c>
      <c r="I295" s="2">
        <v>144.019713598319</v>
      </c>
      <c r="J295" s="2">
        <v>120.221092180961</v>
      </c>
      <c r="K295" s="2">
        <v>94.5795052978044</v>
      </c>
    </row>
    <row r="296">
      <c r="A296" s="2">
        <v>294.0</v>
      </c>
      <c r="B296" s="2">
        <v>294.0</v>
      </c>
      <c r="C296" s="2">
        <v>0.0</v>
      </c>
      <c r="D296" s="2">
        <v>12.0765305561668</v>
      </c>
      <c r="E296" s="2">
        <v>54.8425926438276</v>
      </c>
      <c r="F296" s="2">
        <v>99.736026537656</v>
      </c>
      <c r="G296" s="2">
        <v>133.388175424731</v>
      </c>
      <c r="H296" s="2">
        <v>148.996929536953</v>
      </c>
      <c r="I296" s="2">
        <v>143.879131814936</v>
      </c>
      <c r="J296" s="2">
        <v>119.752847993586</v>
      </c>
      <c r="K296" s="2">
        <v>93.5590473746892</v>
      </c>
    </row>
    <row r="297">
      <c r="A297" s="2">
        <v>295.0</v>
      </c>
      <c r="B297" s="2">
        <v>295.0</v>
      </c>
      <c r="C297" s="2">
        <v>0.0</v>
      </c>
      <c r="D297" s="2">
        <v>12.4021104005044</v>
      </c>
      <c r="E297" s="2">
        <v>55.3732066959262</v>
      </c>
      <c r="F297" s="2">
        <v>100.259675479764</v>
      </c>
      <c r="G297" s="2">
        <v>133.770176711805</v>
      </c>
      <c r="H297" s="2">
        <v>149.143959641007</v>
      </c>
      <c r="I297" s="2">
        <v>143.733695201227</v>
      </c>
      <c r="J297" s="2">
        <v>119.278549731521</v>
      </c>
      <c r="K297" s="2">
        <v>92.5298889826597</v>
      </c>
    </row>
    <row r="298">
      <c r="A298" s="2">
        <v>296.0</v>
      </c>
      <c r="B298" s="2">
        <v>296.0</v>
      </c>
      <c r="C298" s="2">
        <v>0.0</v>
      </c>
      <c r="D298" s="2">
        <v>12.7342223835334</v>
      </c>
      <c r="E298" s="2">
        <v>55.9090451332626</v>
      </c>
      <c r="F298" s="2">
        <v>100.786286542865</v>
      </c>
      <c r="G298" s="2">
        <v>134.152385604335</v>
      </c>
      <c r="H298" s="2">
        <v>149.288419659109</v>
      </c>
      <c r="I298" s="2">
        <v>143.583387704885</v>
      </c>
      <c r="J298" s="2">
        <v>118.798243815137</v>
      </c>
      <c r="K298" s="2">
        <v>91.4923011428701</v>
      </c>
    </row>
    <row r="299">
      <c r="A299" s="2">
        <v>297.0</v>
      </c>
      <c r="B299" s="2">
        <v>297.0</v>
      </c>
      <c r="C299" s="2">
        <v>0.0</v>
      </c>
      <c r="D299" s="2">
        <v>13.072915199187</v>
      </c>
      <c r="E299" s="2">
        <v>56.4500850225068</v>
      </c>
      <c r="F299" s="2">
        <v>101.315804355714</v>
      </c>
      <c r="G299" s="2">
        <v>134.534738766589</v>
      </c>
      <c r="H299" s="2">
        <v>149.430259553357</v>
      </c>
      <c r="I299" s="2">
        <v>143.428193762019</v>
      </c>
      <c r="J299" s="2">
        <v>118.311977263889</v>
      </c>
      <c r="K299" s="2">
        <v>90.446564567153</v>
      </c>
    </row>
    <row r="300">
      <c r="A300" s="2">
        <v>298.0</v>
      </c>
      <c r="B300" s="2">
        <v>298.0</v>
      </c>
      <c r="C300" s="2">
        <v>0.0</v>
      </c>
      <c r="D300" s="2">
        <v>13.4182360811453</v>
      </c>
      <c r="E300" s="2">
        <v>56.9963023989055</v>
      </c>
      <c r="F300" s="2">
        <v>101.848172871354</v>
      </c>
      <c r="G300" s="2">
        <v>134.917172594677</v>
      </c>
      <c r="H300" s="2">
        <v>149.569429453389</v>
      </c>
      <c r="I300" s="2">
        <v>143.268098379382</v>
      </c>
      <c r="J300" s="2">
        <v>117.819797885476</v>
      </c>
      <c r="K300" s="2">
        <v>89.3929703804889</v>
      </c>
    </row>
    <row r="301">
      <c r="A301" s="2">
        <v>299.0</v>
      </c>
      <c r="B301" s="2">
        <v>299.0</v>
      </c>
      <c r="C301" s="2">
        <v>0.0</v>
      </c>
      <c r="D301" s="2">
        <v>13.7702305654401</v>
      </c>
      <c r="E301" s="2">
        <v>57.5476720082815</v>
      </c>
      <c r="F301" s="2">
        <v>102.3833352316</v>
      </c>
      <c r="G301" s="2">
        <v>135.299623266126</v>
      </c>
      <c r="H301" s="2">
        <v>149.705879909214</v>
      </c>
      <c r="I301" s="2">
        <v>143.10308757649</v>
      </c>
      <c r="J301" s="2">
        <v>117.321754881486</v>
      </c>
      <c r="K301" s="2">
        <v>88.3318214031018</v>
      </c>
    </row>
    <row r="302">
      <c r="A302" s="2">
        <v>300.0</v>
      </c>
      <c r="B302" s="2">
        <v>300.0</v>
      </c>
      <c r="C302" s="2">
        <v>0.0</v>
      </c>
      <c r="D302" s="2">
        <v>14.1289430039128</v>
      </c>
      <c r="E302" s="2">
        <v>58.104168003785</v>
      </c>
      <c r="F302" s="2">
        <v>102.92123427038</v>
      </c>
      <c r="G302" s="2">
        <v>135.682026861232</v>
      </c>
      <c r="H302" s="2">
        <v>149.839561541247</v>
      </c>
      <c r="I302" s="2">
        <v>142.933147548341</v>
      </c>
      <c r="J302" s="2">
        <v>116.817897540185</v>
      </c>
      <c r="K302" s="2">
        <v>87.2634303753709</v>
      </c>
    </row>
    <row r="303">
      <c r="A303" s="2">
        <v>301.0</v>
      </c>
      <c r="B303" s="2">
        <v>301.0</v>
      </c>
      <c r="C303" s="2">
        <v>0.0</v>
      </c>
      <c r="D303" s="2">
        <v>14.494415766297</v>
      </c>
      <c r="E303" s="2">
        <v>58.6657629068339</v>
      </c>
      <c r="F303" s="2">
        <v>103.461811744852</v>
      </c>
      <c r="G303" s="2">
        <v>136.064319126245</v>
      </c>
      <c r="H303" s="2">
        <v>149.970425462171</v>
      </c>
      <c r="I303" s="2">
        <v>142.758265769564</v>
      </c>
      <c r="J303" s="2">
        <v>116.308276998924</v>
      </c>
      <c r="K303" s="2">
        <v>86.1881233077819</v>
      </c>
    </row>
    <row r="304">
      <c r="A304" s="2">
        <v>302.0</v>
      </c>
      <c r="B304" s="2">
        <v>302.0</v>
      </c>
      <c r="C304" s="2">
        <v>0.0</v>
      </c>
      <c r="D304" s="2">
        <v>14.8666901139519</v>
      </c>
      <c r="E304" s="2">
        <v>59.2324288145657</v>
      </c>
      <c r="F304" s="2">
        <v>104.005009283596</v>
      </c>
      <c r="G304" s="2">
        <v>136.446435848446</v>
      </c>
      <c r="H304" s="2">
        <v>150.098422914598</v>
      </c>
      <c r="I304" s="2">
        <v>142.578429845148</v>
      </c>
      <c r="J304" s="2">
        <v>115.792944316259</v>
      </c>
      <c r="K304" s="2">
        <v>85.1062365886982</v>
      </c>
    </row>
    <row r="305">
      <c r="A305" s="2">
        <v>303.0</v>
      </c>
      <c r="B305" s="2">
        <v>303.0</v>
      </c>
      <c r="C305" s="2">
        <v>0.0</v>
      </c>
      <c r="D305" s="2">
        <v>15.2458053851002</v>
      </c>
      <c r="E305" s="2">
        <v>59.8041363295888</v>
      </c>
      <c r="F305" s="2">
        <v>104.550767568636</v>
      </c>
      <c r="G305" s="2">
        <v>136.828312556322</v>
      </c>
      <c r="H305" s="2">
        <v>150.22350562335</v>
      </c>
      <c r="I305" s="2">
        <v>142.393628546702</v>
      </c>
      <c r="J305" s="2">
        <v>115.271952173919</v>
      </c>
      <c r="K305" s="2">
        <v>84.0181203192844</v>
      </c>
    </row>
    <row r="306">
      <c r="A306" s="2">
        <v>304.0</v>
      </c>
      <c r="B306" s="2">
        <v>304.0</v>
      </c>
      <c r="C306" s="2">
        <v>0.0</v>
      </c>
      <c r="D306" s="2">
        <v>15.6317993001624</v>
      </c>
      <c r="E306" s="2">
        <v>60.3808549825327</v>
      </c>
      <c r="F306" s="2">
        <v>105.099026649422</v>
      </c>
      <c r="G306" s="2">
        <v>137.209884609846</v>
      </c>
      <c r="H306" s="2">
        <v>150.345625605427</v>
      </c>
      <c r="I306" s="2">
        <v>142.203851329022</v>
      </c>
      <c r="J306" s="2">
        <v>114.745354107869</v>
      </c>
      <c r="K306" s="2">
        <v>82.9241374955391</v>
      </c>
    </row>
    <row r="307">
      <c r="A307" s="2">
        <v>305.0</v>
      </c>
      <c r="B307" s="2">
        <v>305.0</v>
      </c>
      <c r="C307" s="2">
        <v>0.0</v>
      </c>
      <c r="D307" s="2">
        <v>16.0247083122785</v>
      </c>
      <c r="E307" s="2">
        <v>60.9625537421193</v>
      </c>
      <c r="F307" s="2">
        <v>105.649726393399</v>
      </c>
      <c r="G307" s="2">
        <v>137.591087463499</v>
      </c>
      <c r="H307" s="2">
        <v>150.464735167489</v>
      </c>
      <c r="I307" s="2">
        <v>142.009088025404</v>
      </c>
      <c r="J307" s="2">
        <v>114.213203891686</v>
      </c>
      <c r="K307" s="2">
        <v>81.8246633461867</v>
      </c>
    </row>
    <row r="308">
      <c r="A308" s="2">
        <v>306.0</v>
      </c>
      <c r="B308" s="2">
        <v>306.0</v>
      </c>
      <c r="C308" s="2">
        <v>0.0</v>
      </c>
      <c r="D308" s="2">
        <v>16.4245667417425</v>
      </c>
      <c r="E308" s="2">
        <v>61.5491998648832</v>
      </c>
      <c r="F308" s="2">
        <v>106.202805550216</v>
      </c>
      <c r="G308" s="2">
        <v>137.971856220204</v>
      </c>
      <c r="H308" s="2">
        <v>150.580787100141</v>
      </c>
      <c r="I308" s="2">
        <v>141.809329732241</v>
      </c>
      <c r="J308" s="2">
        <v>113.675557104255</v>
      </c>
      <c r="K308" s="2">
        <v>80.7200886118262</v>
      </c>
    </row>
    <row r="309">
      <c r="A309" s="2">
        <v>307.0</v>
      </c>
      <c r="B309" s="2">
        <v>307.0</v>
      </c>
      <c r="C309" s="2">
        <v>0.0</v>
      </c>
      <c r="D309" s="2">
        <v>16.831407600138</v>
      </c>
      <c r="E309" s="2">
        <v>62.1407600260531</v>
      </c>
      <c r="F309" s="2">
        <v>106.758202682181</v>
      </c>
      <c r="G309" s="2">
        <v>138.352126080407</v>
      </c>
      <c r="H309" s="2">
        <v>150.693734489284</v>
      </c>
      <c r="I309" s="2">
        <v>141.604567926075</v>
      </c>
      <c r="J309" s="2">
        <v>113.1324695545</v>
      </c>
      <c r="K309" s="2">
        <v>79.6108173043198</v>
      </c>
    </row>
    <row r="310">
      <c r="A310" s="2">
        <v>308.0</v>
      </c>
      <c r="B310" s="2">
        <v>308.0</v>
      </c>
      <c r="C310" s="2">
        <v>0.0</v>
      </c>
      <c r="D310" s="2">
        <v>17.2452620952831</v>
      </c>
      <c r="E310" s="2">
        <v>62.7371996947303</v>
      </c>
      <c r="F310" s="2">
        <v>107.315855692521</v>
      </c>
      <c r="G310" s="2">
        <v>138.731832171349</v>
      </c>
      <c r="H310" s="2">
        <v>150.803530919379</v>
      </c>
      <c r="I310" s="2">
        <v>141.394795054722</v>
      </c>
      <c r="J310" s="2">
        <v>112.583998242702</v>
      </c>
      <c r="K310" s="2">
        <v>78.4972688989145</v>
      </c>
    </row>
    <row r="311">
      <c r="A311" s="2">
        <v>309.0</v>
      </c>
      <c r="B311" s="2">
        <v>309.0</v>
      </c>
      <c r="C311" s="2">
        <v>0.0</v>
      </c>
      <c r="D311" s="2">
        <v>17.6661597170474</v>
      </c>
      <c r="E311" s="2">
        <v>63.3384832339658</v>
      </c>
      <c r="F311" s="2">
        <v>107.875701864483</v>
      </c>
      <c r="G311" s="2">
        <v>139.110909493652</v>
      </c>
      <c r="H311" s="2">
        <v>150.910130319135</v>
      </c>
      <c r="I311" s="2">
        <v>141.180004289434</v>
      </c>
      <c r="J311" s="2">
        <v>112.03020103349</v>
      </c>
      <c r="K311" s="2">
        <v>77.3798784607055</v>
      </c>
    </row>
    <row r="312">
      <c r="A312" s="2">
        <v>310.0</v>
      </c>
      <c r="B312" s="2">
        <v>310.0</v>
      </c>
      <c r="C312" s="2">
        <v>0.0</v>
      </c>
      <c r="D312" s="2">
        <v>18.0941283625997</v>
      </c>
      <c r="E312" s="2">
        <v>63.9445741160836</v>
      </c>
      <c r="F312" s="2">
        <v>108.437678092431</v>
      </c>
      <c r="G312" s="2">
        <v>139.489293114369</v>
      </c>
      <c r="H312" s="2">
        <v>151.013487074666</v>
      </c>
      <c r="I312" s="2">
        <v>140.960189528495</v>
      </c>
      <c r="J312" s="2">
        <v>111.471136531976</v>
      </c>
      <c r="K312" s="2">
        <v>76.2590969565504</v>
      </c>
    </row>
    <row r="313">
      <c r="A313" s="2">
        <v>311.0</v>
      </c>
      <c r="B313" s="2">
        <v>311.0</v>
      </c>
      <c r="C313" s="2">
        <v>0.0</v>
      </c>
      <c r="D313" s="2">
        <v>18.5291939328932</v>
      </c>
      <c r="E313" s="2">
        <v>64.555434416408</v>
      </c>
      <c r="F313" s="2">
        <v>109.001720479418</v>
      </c>
      <c r="G313" s="2">
        <v>139.866917981635</v>
      </c>
      <c r="H313" s="2">
        <v>151.113556121129</v>
      </c>
      <c r="I313" s="2">
        <v>140.735345781564</v>
      </c>
      <c r="J313" s="2">
        <v>110.906864749174</v>
      </c>
      <c r="K313" s="2">
        <v>75.1353930791096</v>
      </c>
    </row>
    <row r="314">
      <c r="A314" s="2">
        <v>312.0</v>
      </c>
      <c r="B314" s="2">
        <v>312.0</v>
      </c>
      <c r="C314" s="2">
        <v>0.0</v>
      </c>
      <c r="D314" s="2">
        <v>18.9713808235344</v>
      </c>
      <c r="E314" s="2">
        <v>65.17102545146</v>
      </c>
      <c r="F314" s="2">
        <v>109.567764839158</v>
      </c>
      <c r="G314" s="2">
        <v>140.243719136159</v>
      </c>
      <c r="H314" s="2">
        <v>151.210292782443</v>
      </c>
      <c r="I314" s="2">
        <v>140.505468614978</v>
      </c>
      <c r="J314" s="2">
        <v>110.337446167321</v>
      </c>
      <c r="K314" s="2">
        <v>74.0092523714621</v>
      </c>
    </row>
    <row r="315">
      <c r="A315" s="2">
        <v>313.0</v>
      </c>
      <c r="B315" s="2">
        <v>313.0</v>
      </c>
      <c r="C315" s="2">
        <v>0.0</v>
      </c>
      <c r="D315" s="2">
        <v>19.4207116575514</v>
      </c>
      <c r="E315" s="2">
        <v>65.7913074523111</v>
      </c>
      <c r="F315" s="2">
        <v>110.135746447698</v>
      </c>
      <c r="G315" s="2">
        <v>140.619631613807</v>
      </c>
      <c r="H315" s="2">
        <v>151.303652860567</v>
      </c>
      <c r="I315" s="2">
        <v>140.270554433669</v>
      </c>
      <c r="J315" s="2">
        <v>109.76294220309</v>
      </c>
      <c r="K315" s="2">
        <v>72.8811787643707</v>
      </c>
    </row>
    <row r="316">
      <c r="A316" s="2">
        <v>314.0</v>
      </c>
      <c r="B316" s="2">
        <v>314.0</v>
      </c>
      <c r="C316" s="2">
        <v>0.0</v>
      </c>
      <c r="D316" s="2">
        <v>19.8772072795189</v>
      </c>
      <c r="E316" s="2">
        <v>66.4162395947326</v>
      </c>
      <c r="F316" s="2">
        <v>110.70560010523</v>
      </c>
      <c r="G316" s="2">
        <v>140.99459052813</v>
      </c>
      <c r="H316" s="2">
        <v>151.393592724401</v>
      </c>
      <c r="I316" s="2">
        <v>140.030600560592</v>
      </c>
      <c r="J316" s="2">
        <v>109.183415263424</v>
      </c>
      <c r="K316" s="2">
        <v>71.7516954035472</v>
      </c>
    </row>
    <row r="317">
      <c r="A317" s="2">
        <v>315.0</v>
      </c>
      <c r="B317" s="2">
        <v>315.0</v>
      </c>
      <c r="C317" s="2">
        <v>0.0</v>
      </c>
      <c r="D317" s="2">
        <v>20.3408865882919</v>
      </c>
      <c r="E317" s="2">
        <v>67.0457797738409</v>
      </c>
      <c r="F317" s="2">
        <v>111.277259919236</v>
      </c>
      <c r="G317" s="2">
        <v>141.36853090705</v>
      </c>
      <c r="H317" s="2">
        <v>151.480069231668</v>
      </c>
      <c r="I317" s="2">
        <v>139.785605261631</v>
      </c>
      <c r="J317" s="2">
        <v>108.598928879613</v>
      </c>
      <c r="K317" s="2">
        <v>70.6213458052133</v>
      </c>
    </row>
    <row r="318">
      <c r="A318" s="2">
        <v>316.0</v>
      </c>
      <c r="B318" s="2">
        <v>316.0</v>
      </c>
      <c r="C318" s="2">
        <v>0.0</v>
      </c>
      <c r="D318" s="2">
        <v>20.8117670856626</v>
      </c>
      <c r="E318" s="2">
        <v>67.679885339583</v>
      </c>
      <c r="F318" s="2">
        <v>111.850659948328</v>
      </c>
      <c r="G318" s="2">
        <v>141.741388077051</v>
      </c>
      <c r="H318" s="2">
        <v>151.563039750866</v>
      </c>
      <c r="I318" s="2">
        <v>139.535567360142</v>
      </c>
      <c r="J318" s="2">
        <v>108.00954691309</v>
      </c>
      <c r="K318" s="2">
        <v>69.4906933020735</v>
      </c>
    </row>
    <row r="319">
      <c r="A319" s="2">
        <v>317.0</v>
      </c>
      <c r="B319" s="2">
        <v>317.0</v>
      </c>
      <c r="C319" s="2">
        <v>0.0</v>
      </c>
      <c r="D319" s="2">
        <v>21.2898640356952</v>
      </c>
      <c r="E319" s="2">
        <v>68.3185120405435</v>
      </c>
      <c r="F319" s="2">
        <v>112.425733339255</v>
      </c>
      <c r="G319" s="2">
        <v>142.113097224917</v>
      </c>
      <c r="H319" s="2">
        <v>151.642462275584</v>
      </c>
      <c r="I319" s="2">
        <v>139.280486943003</v>
      </c>
      <c r="J319" s="2">
        <v>107.415334829926</v>
      </c>
      <c r="K319" s="2">
        <v>68.3603242132885</v>
      </c>
    </row>
    <row r="320">
      <c r="A320" s="2">
        <v>318.0</v>
      </c>
      <c r="B320" s="2">
        <v>318.0</v>
      </c>
      <c r="C320" s="2">
        <v>0.0</v>
      </c>
      <c r="D320" s="2">
        <v>21.7751911441376</v>
      </c>
      <c r="E320" s="2">
        <v>68.9616149001266</v>
      </c>
      <c r="F320" s="2">
        <v>113.002413054382</v>
      </c>
      <c r="G320" s="2">
        <v>142.483593777263</v>
      </c>
      <c r="H320" s="2">
        <v>151.718295342865</v>
      </c>
      <c r="I320" s="2">
        <v>139.020364777972</v>
      </c>
      <c r="J320" s="2">
        <v>106.816358630644</v>
      </c>
      <c r="K320" s="2">
        <v>67.2308469969163</v>
      </c>
    </row>
    <row r="321">
      <c r="A321" s="2">
        <v>319.0</v>
      </c>
      <c r="B321" s="2">
        <v>319.0</v>
      </c>
      <c r="C321" s="2">
        <v>0.0</v>
      </c>
      <c r="D321" s="2">
        <v>22.2677602614864</v>
      </c>
      <c r="E321" s="2">
        <v>69.6091478321115</v>
      </c>
      <c r="F321" s="2">
        <v>113.580631535981</v>
      </c>
      <c r="G321" s="2">
        <v>142.852813195134</v>
      </c>
      <c r="H321" s="2">
        <v>151.790498007532</v>
      </c>
      <c r="I321" s="2">
        <v>138.75520248815</v>
      </c>
      <c r="J321" s="2">
        <v>106.212685223733</v>
      </c>
      <c r="K321" s="2">
        <v>66.1028940334848</v>
      </c>
    </row>
    <row r="322">
      <c r="A322" s="2">
        <v>320.0</v>
      </c>
      <c r="B322" s="2">
        <v>320.0</v>
      </c>
      <c r="C322" s="2">
        <v>0.0</v>
      </c>
      <c r="D322" s="2">
        <v>22.8235651907869</v>
      </c>
      <c r="E322" s="2">
        <v>70.3337673954236</v>
      </c>
      <c r="F322" s="2">
        <v>114.224818683378</v>
      </c>
      <c r="G322" s="2">
        <v>143.261480933149</v>
      </c>
      <c r="H322" s="2">
        <v>151.866416385741</v>
      </c>
      <c r="I322" s="2">
        <v>138.454669653779</v>
      </c>
      <c r="J322" s="2">
        <v>105.536510470332</v>
      </c>
      <c r="K322" s="2">
        <v>64.8522010758665</v>
      </c>
    </row>
    <row r="323">
      <c r="A323" s="2">
        <v>321.0</v>
      </c>
      <c r="B323" s="2">
        <v>321.0</v>
      </c>
      <c r="C323" s="2">
        <v>0.0</v>
      </c>
      <c r="D323" s="2">
        <v>23.3883343130739</v>
      </c>
      <c r="E323" s="2">
        <v>71.0637318997772</v>
      </c>
      <c r="F323" s="2">
        <v>114.870727858333</v>
      </c>
      <c r="G323" s="2">
        <v>143.668404466308</v>
      </c>
      <c r="H323" s="2">
        <v>151.937748708426</v>
      </c>
      <c r="I323" s="2">
        <v>138.147922543541</v>
      </c>
      <c r="J323" s="2">
        <v>104.854714938027</v>
      </c>
      <c r="K323" s="2">
        <v>63.6051421416995</v>
      </c>
    </row>
    <row r="324">
      <c r="A324" s="2">
        <v>322.0</v>
      </c>
      <c r="B324" s="2">
        <v>322.0</v>
      </c>
      <c r="C324" s="2">
        <v>0.0</v>
      </c>
      <c r="D324" s="2">
        <v>23.9620760122534</v>
      </c>
      <c r="E324" s="2">
        <v>71.7989737815025</v>
      </c>
      <c r="F324" s="2">
        <v>115.518264761552</v>
      </c>
      <c r="G324" s="2">
        <v>144.073496065966</v>
      </c>
      <c r="H324" s="2">
        <v>152.004441600356</v>
      </c>
      <c r="I324" s="2">
        <v>137.8349674123</v>
      </c>
      <c r="J324" s="2">
        <v>104.167394346921</v>
      </c>
      <c r="K324" s="2">
        <v>62.3626992015305</v>
      </c>
    </row>
    <row r="325">
      <c r="A325" s="2">
        <v>323.0</v>
      </c>
      <c r="B325" s="2">
        <v>323.0</v>
      </c>
      <c r="C325" s="2">
        <v>0.0</v>
      </c>
      <c r="D325" s="2">
        <v>24.5447956463993</v>
      </c>
      <c r="E325" s="2">
        <v>72.5394236469812</v>
      </c>
      <c r="F325" s="2">
        <v>116.16733426979</v>
      </c>
      <c r="G325" s="2">
        <v>144.476668137047</v>
      </c>
      <c r="H325" s="2">
        <v>152.066442651172</v>
      </c>
      <c r="I325" s="2">
        <v>137.515812052958</v>
      </c>
      <c r="J325" s="2">
        <v>103.47464605082</v>
      </c>
      <c r="K325" s="2">
        <v>61.1258992726683</v>
      </c>
    </row>
    <row r="326">
      <c r="A326" s="2">
        <v>324.0</v>
      </c>
      <c r="B326" s="2">
        <v>324.0</v>
      </c>
      <c r="C326" s="2">
        <v>0.0</v>
      </c>
      <c r="D326" s="2">
        <v>25.1364961480576</v>
      </c>
      <c r="E326" s="2">
        <v>73.2850110340934</v>
      </c>
      <c r="F326" s="2">
        <v>116.817841088687</v>
      </c>
      <c r="G326" s="2">
        <v>144.877833597364</v>
      </c>
      <c r="H326" s="2">
        <v>152.123700422203</v>
      </c>
      <c r="I326" s="2">
        <v>137.190465391473</v>
      </c>
      <c r="J326" s="2">
        <v>102.776568231626</v>
      </c>
      <c r="K326" s="2">
        <v>59.895815625229</v>
      </c>
    </row>
    <row r="327">
      <c r="A327" s="2">
        <v>325.0</v>
      </c>
      <c r="B327" s="2">
        <v>325.0</v>
      </c>
      <c r="C327" s="2">
        <v>0.0</v>
      </c>
      <c r="D327" s="2">
        <v>25.7371771125638</v>
      </c>
      <c r="E327" s="2">
        <v>74.0356633460796</v>
      </c>
      <c r="F327" s="2">
        <v>117.469688921986</v>
      </c>
      <c r="G327" s="2">
        <v>145.276905498037</v>
      </c>
      <c r="H327" s="2">
        <v>152.176164628492</v>
      </c>
      <c r="I327" s="2">
        <v>136.858938248676</v>
      </c>
      <c r="J327" s="2">
        <v>102.073261187477</v>
      </c>
      <c r="K327" s="2">
        <v>58.6735726498448</v>
      </c>
    </row>
    <row r="328">
      <c r="A328" s="2">
        <v>326.0</v>
      </c>
      <c r="B328" s="2">
        <v>326.0</v>
      </c>
      <c r="C328" s="2">
        <v>0.0</v>
      </c>
      <c r="D328" s="2">
        <v>26.3468358372077</v>
      </c>
      <c r="E328" s="2">
        <v>74.7913070750658</v>
      </c>
      <c r="F328" s="2">
        <v>118.122781420338</v>
      </c>
      <c r="G328" s="2">
        <v>145.673797439912</v>
      </c>
      <c r="H328" s="2">
        <v>152.223785889703</v>
      </c>
      <c r="I328" s="2">
        <v>136.521242400363</v>
      </c>
      <c r="J328" s="2">
        <v>101.364825762087</v>
      </c>
      <c r="K328" s="2">
        <v>57.460346405298</v>
      </c>
    </row>
    <row r="329">
      <c r="A329" s="2">
        <v>327.0</v>
      </c>
      <c r="B329" s="2">
        <v>327.0</v>
      </c>
      <c r="C329" s="2">
        <v>0.0</v>
      </c>
      <c r="D329" s="2">
        <v>26.9654664285476</v>
      </c>
      <c r="E329" s="2">
        <v>75.5518668152517</v>
      </c>
      <c r="F329" s="2">
        <v>118.777021482294</v>
      </c>
      <c r="G329" s="2">
        <v>146.068423359252</v>
      </c>
      <c r="H329" s="2">
        <v>152.266516086002</v>
      </c>
      <c r="I329" s="2">
        <v>136.17739149475</v>
      </c>
      <c r="J329" s="2">
        <v>100.651364744921</v>
      </c>
      <c r="K329" s="2">
        <v>56.2573699953094</v>
      </c>
    </row>
    <row r="330">
      <c r="A330" s="2">
        <v>328.0</v>
      </c>
      <c r="B330" s="2">
        <v>328.0</v>
      </c>
      <c r="C330" s="2">
        <v>0.0</v>
      </c>
      <c r="D330" s="2">
        <v>27.5930603733264</v>
      </c>
      <c r="E330" s="2">
        <v>76.3172658821776</v>
      </c>
      <c r="F330" s="2">
        <v>119.432311666134</v>
      </c>
      <c r="G330" s="2">
        <v>146.46069760173</v>
      </c>
      <c r="H330" s="2">
        <v>152.304308041023</v>
      </c>
      <c r="I330" s="2">
        <v>135.827400354581</v>
      </c>
      <c r="J330" s="2">
        <v>99.9329818496369</v>
      </c>
      <c r="K330" s="2">
        <v>55.065935641185</v>
      </c>
    </row>
    <row r="331">
      <c r="A331" s="2">
        <v>329.0</v>
      </c>
      <c r="B331" s="2">
        <v>329.0</v>
      </c>
      <c r="C331" s="2">
        <v>0.0</v>
      </c>
      <c r="D331" s="2">
        <v>28.2296061068505</v>
      </c>
      <c r="E331" s="2">
        <v>77.0874258986319</v>
      </c>
      <c r="F331" s="2">
        <v>120.088553974065</v>
      </c>
      <c r="G331" s="2">
        <v>146.850534981757</v>
      </c>
      <c r="H331" s="2">
        <v>152.337115871809</v>
      </c>
      <c r="I331" s="2">
        <v>135.471285584315</v>
      </c>
      <c r="J331" s="2">
        <v>99.2097825117857</v>
      </c>
      <c r="K331" s="2">
        <v>53.8873995903783</v>
      </c>
    </row>
    <row r="332">
      <c r="A332" s="2">
        <v>330.0</v>
      </c>
      <c r="B332" s="2">
        <v>330.0</v>
      </c>
      <c r="C332" s="220">
        <v>8.13343536858314E-5</v>
      </c>
      <c r="D332" s="2">
        <v>28.8750892982913</v>
      </c>
      <c r="E332" s="2">
        <v>77.8622671001338</v>
      </c>
      <c r="F332" s="2">
        <v>120.74565005001</v>
      </c>
      <c r="G332" s="2">
        <v>147.237850807022</v>
      </c>
      <c r="H332" s="2">
        <v>152.364894813801</v>
      </c>
      <c r="I332" s="2">
        <v>135.109065201253</v>
      </c>
      <c r="J332" s="2">
        <v>98.4818733557774</v>
      </c>
      <c r="K332" s="2">
        <v>52.7231035093615</v>
      </c>
    </row>
    <row r="333">
      <c r="A333" s="2">
        <v>331.0</v>
      </c>
      <c r="B333" s="2">
        <v>331.0</v>
      </c>
      <c r="C333" s="2">
        <v>0.00269061007080879</v>
      </c>
      <c r="D333" s="2">
        <v>29.5294930145162</v>
      </c>
      <c r="E333" s="2">
        <v>78.6417085266491</v>
      </c>
      <c r="F333" s="2">
        <v>121.40350133451</v>
      </c>
      <c r="G333" s="2">
        <v>147.622560956001</v>
      </c>
      <c r="H333" s="2">
        <v>152.387601197713</v>
      </c>
      <c r="I333" s="2">
        <v>134.740758504418</v>
      </c>
      <c r="J333" s="2">
        <v>97.7493619633941</v>
      </c>
      <c r="K333" s="2">
        <v>51.5720027254558</v>
      </c>
    </row>
    <row r="334">
      <c r="A334" s="2">
        <v>332.0</v>
      </c>
      <c r="B334" s="2">
        <v>332.0</v>
      </c>
      <c r="C334" s="2">
        <v>0.0108937004914313</v>
      </c>
      <c r="D334" s="2">
        <v>30.1927972482711</v>
      </c>
      <c r="E334" s="2">
        <v>79.4256675234927</v>
      </c>
      <c r="F334" s="2">
        <v>122.06200872096</v>
      </c>
      <c r="G334" s="2">
        <v>148.004581781456</v>
      </c>
      <c r="H334" s="2">
        <v>152.405192636731</v>
      </c>
      <c r="I334" s="2">
        <v>134.366386533924</v>
      </c>
      <c r="J334" s="2">
        <v>97.0123575552801</v>
      </c>
      <c r="K334" s="2">
        <v>50.4322000337466</v>
      </c>
    </row>
    <row r="335">
      <c r="A335" s="2">
        <v>333.0</v>
      </c>
      <c r="B335" s="2">
        <v>333.0</v>
      </c>
      <c r="C335" s="2">
        <v>0.026468106410691</v>
      </c>
      <c r="D335" s="2">
        <v>30.8649792327595</v>
      </c>
      <c r="E335" s="2">
        <v>80.2140600990651</v>
      </c>
      <c r="F335" s="2">
        <v>122.721072827915</v>
      </c>
      <c r="G335" s="2">
        <v>148.383830223325</v>
      </c>
      <c r="H335" s="2">
        <v>152.417627942058</v>
      </c>
      <c r="I335" s="2">
        <v>133.98597178294</v>
      </c>
      <c r="J335" s="2">
        <v>96.2709705199461</v>
      </c>
      <c r="K335" s="2">
        <v>49.3029236883051</v>
      </c>
    </row>
    <row r="336">
      <c r="A336" s="2">
        <v>334.0</v>
      </c>
      <c r="B336" s="2">
        <v>334.0</v>
      </c>
      <c r="C336" s="2">
        <v>0.0507511911665684</v>
      </c>
      <c r="D336" s="2">
        <v>31.5460131319284</v>
      </c>
      <c r="E336" s="2">
        <v>81.0068006285584</v>
      </c>
      <c r="F336" s="2">
        <v>123.380593830806</v>
      </c>
      <c r="G336" s="2">
        <v>148.760223818537</v>
      </c>
      <c r="H336" s="2">
        <v>152.424867321844</v>
      </c>
      <c r="I336" s="2">
        <v>133.599538564072</v>
      </c>
      <c r="J336" s="2">
        <v>95.5253129003961</v>
      </c>
      <c r="K336" s="2">
        <v>48.1837441978392</v>
      </c>
    </row>
    <row r="337">
      <c r="A337" s="2">
        <v>335.0</v>
      </c>
      <c r="B337" s="2">
        <v>335.0</v>
      </c>
      <c r="C337" s="2">
        <v>0.0848353310228847</v>
      </c>
      <c r="D337" s="2">
        <v>32.2358706622163</v>
      </c>
      <c r="E337" s="2">
        <v>81.8038024771047</v>
      </c>
      <c r="F337" s="2">
        <v>124.040471847246</v>
      </c>
      <c r="G337" s="2">
        <v>149.133680730092</v>
      </c>
      <c r="H337" s="2">
        <v>152.426872013568</v>
      </c>
      <c r="I337" s="2">
        <v>133.207112270002</v>
      </c>
      <c r="J337" s="2">
        <v>94.7754973607274</v>
      </c>
      <c r="K337" s="2">
        <v>47.0744026507735</v>
      </c>
    </row>
    <row r="338">
      <c r="A338" s="2">
        <v>336.0</v>
      </c>
      <c r="B338" s="2">
        <v>336.0</v>
      </c>
      <c r="C338" s="2">
        <v>0.129647997871531</v>
      </c>
      <c r="D338" s="2">
        <v>32.934520482688</v>
      </c>
      <c r="E338" s="2">
        <v>82.6049774193879</v>
      </c>
      <c r="F338" s="2">
        <v>124.700606616819</v>
      </c>
      <c r="G338" s="2">
        <v>149.504119788883</v>
      </c>
      <c r="H338" s="2">
        <v>152.423604710527</v>
      </c>
      <c r="I338" s="2">
        <v>132.80872014176</v>
      </c>
      <c r="J338" s="2">
        <v>94.0216382023178</v>
      </c>
      <c r="K338" s="2">
        <v>45.974746269997</v>
      </c>
    </row>
    <row r="339">
      <c r="A339" s="2">
        <v>337.0</v>
      </c>
      <c r="B339" s="2">
        <v>337.0</v>
      </c>
      <c r="C339" s="2">
        <v>0.185994937473757</v>
      </c>
      <c r="D339" s="2">
        <v>33.6419285175915</v>
      </c>
      <c r="E339" s="2">
        <v>83.4102359796961</v>
      </c>
      <c r="F339" s="2">
        <v>125.360897735126</v>
      </c>
      <c r="G339" s="2">
        <v>149.871460554941</v>
      </c>
      <c r="H339" s="2">
        <v>152.415029421357</v>
      </c>
      <c r="I339" s="2">
        <v>132.404390930262</v>
      </c>
      <c r="J339" s="2">
        <v>93.2638508585586</v>
      </c>
      <c r="K339" s="2">
        <v>44.8846942386582</v>
      </c>
    </row>
    <row r="340">
      <c r="A340" s="2">
        <v>338.0</v>
      </c>
      <c r="B340" s="2">
        <v>338.0</v>
      </c>
      <c r="C340" s="2">
        <v>0.254586835459877</v>
      </c>
      <c r="D340" s="2">
        <v>34.3580577659156</v>
      </c>
      <c r="E340" s="2">
        <v>84.219487202218</v>
      </c>
      <c r="F340" s="2">
        <v>126.021244447054</v>
      </c>
      <c r="G340" s="2">
        <v>150.23562317325</v>
      </c>
      <c r="H340" s="2">
        <v>152.401111413369</v>
      </c>
      <c r="I340" s="2">
        <v>131.994154936451</v>
      </c>
      <c r="J340" s="2">
        <v>92.5022520241212</v>
      </c>
      <c r="K340" s="2">
        <v>43.804218256763</v>
      </c>
    </row>
    <row r="341">
      <c r="A341" s="2">
        <v>339.0</v>
      </c>
      <c r="B341" s="2">
        <v>339.0</v>
      </c>
      <c r="C341" s="2">
        <v>0.336057293018696</v>
      </c>
      <c r="D341" s="2">
        <v>35.082868525532</v>
      </c>
      <c r="E341" s="2">
        <v>85.0326389664954</v>
      </c>
      <c r="F341" s="2">
        <v>126.681545978764</v>
      </c>
      <c r="G341" s="2">
        <v>150.596528658003</v>
      </c>
      <c r="H341" s="2">
        <v>152.381817396243</v>
      </c>
      <c r="I341" s="2">
        <v>131.578044057123</v>
      </c>
      <c r="J341" s="2">
        <v>91.7369595456254</v>
      </c>
      <c r="K341" s="2">
        <v>42.7333296617244</v>
      </c>
    </row>
    <row r="342">
      <c r="A342" s="2">
        <v>340.0</v>
      </c>
      <c r="B342" s="2">
        <v>340.0</v>
      </c>
      <c r="C342" s="2">
        <v>0.430975638066491</v>
      </c>
      <c r="D342" s="2">
        <v>35.8163181913317</v>
      </c>
      <c r="E342" s="2">
        <v>85.8495977324652</v>
      </c>
      <c r="F342" s="2">
        <v>127.341701293226</v>
      </c>
      <c r="G342" s="2">
        <v>150.954098703022</v>
      </c>
      <c r="H342" s="2">
        <v>152.357115418625</v>
      </c>
      <c r="I342" s="2">
        <v>131.156091783441</v>
      </c>
      <c r="J342" s="2">
        <v>90.9680925192642</v>
      </c>
      <c r="K342" s="2">
        <v>41.6720710223953</v>
      </c>
    </row>
    <row r="343">
      <c r="A343" s="2">
        <v>341.0</v>
      </c>
      <c r="B343" s="2">
        <v>341.0</v>
      </c>
      <c r="C343" s="2">
        <v>0.539856544534078</v>
      </c>
      <c r="D343" s="2">
        <v>36.5583616318427</v>
      </c>
      <c r="E343" s="2">
        <v>86.6702689648424</v>
      </c>
      <c r="F343" s="2">
        <v>128.001609437605</v>
      </c>
      <c r="G343" s="2">
        <v>151.308255873012</v>
      </c>
      <c r="H343" s="2">
        <v>152.326974857833</v>
      </c>
      <c r="I343" s="2">
        <v>130.728332976601</v>
      </c>
      <c r="J343" s="2">
        <v>90.1957708729773</v>
      </c>
      <c r="K343" s="2">
        <v>40.6205094136735</v>
      </c>
    </row>
    <row r="344">
      <c r="A344" s="2">
        <v>342.0</v>
      </c>
      <c r="B344" s="2">
        <v>342.0</v>
      </c>
      <c r="C344" s="2">
        <v>0.663167307362733</v>
      </c>
      <c r="D344" s="2">
        <v>37.3089504963469</v>
      </c>
      <c r="E344" s="2">
        <v>87.4945564311256</v>
      </c>
      <c r="F344" s="2">
        <v>128.661169059435</v>
      </c>
      <c r="G344" s="2">
        <v>151.6589234554</v>
      </c>
      <c r="H344" s="2">
        <v>152.291366652444</v>
      </c>
      <c r="I344" s="2">
        <v>130.294804460247</v>
      </c>
      <c r="J344" s="2">
        <v>89.4201162357853</v>
      </c>
      <c r="K344" s="2">
        <v>39.5787329420668</v>
      </c>
    </row>
    <row r="345">
      <c r="A345" s="2">
        <v>343.0</v>
      </c>
      <c r="B345" s="2">
        <v>343.0</v>
      </c>
      <c r="C345" s="2">
        <v>0.801333820580766</v>
      </c>
      <c r="D345" s="2">
        <v>38.068034101899</v>
      </c>
      <c r="E345" s="2">
        <v>88.3223631142366</v>
      </c>
      <c r="F345" s="2">
        <v>129.320279052547</v>
      </c>
      <c r="G345" s="2">
        <v>152.006025679229</v>
      </c>
      <c r="H345" s="2">
        <v>152.250263024939</v>
      </c>
      <c r="I345" s="2">
        <v>129.855544260854</v>
      </c>
      <c r="J345" s="2">
        <v>88.6412507877627</v>
      </c>
      <c r="K345" s="2">
        <v>38.5468458388371</v>
      </c>
    </row>
    <row r="346">
      <c r="A346" s="2">
        <v>344.0</v>
      </c>
      <c r="B346" s="2">
        <v>344.0</v>
      </c>
      <c r="C346" s="2">
        <v>0.954745145600295</v>
      </c>
      <c r="D346" s="2">
        <v>38.83555856584</v>
      </c>
      <c r="E346" s="2">
        <v>89.1535903518617</v>
      </c>
      <c r="F346" s="2">
        <v>129.978837982903</v>
      </c>
      <c r="G346" s="2">
        <v>152.349487569334</v>
      </c>
      <c r="H346" s="2">
        <v>152.203637814443</v>
      </c>
      <c r="I346" s="2">
        <v>129.410592386228</v>
      </c>
      <c r="J346" s="2">
        <v>87.8592983733342</v>
      </c>
      <c r="K346" s="2">
        <v>37.5249670944457</v>
      </c>
    </row>
    <row r="347">
      <c r="A347" s="2">
        <v>345.0</v>
      </c>
      <c r="B347" s="2">
        <v>345.0</v>
      </c>
      <c r="C347" s="2">
        <v>1.12375756937525</v>
      </c>
      <c r="D347" s="2">
        <v>39.6114676983895</v>
      </c>
      <c r="E347" s="2">
        <v>89.9881387271281</v>
      </c>
      <c r="F347" s="2">
        <v>130.636744692216</v>
      </c>
      <c r="G347" s="2">
        <v>152.689235111127</v>
      </c>
      <c r="H347" s="2">
        <v>152.151466143388</v>
      </c>
      <c r="I347" s="2">
        <v>128.959990018722</v>
      </c>
      <c r="J347" s="2">
        <v>87.0743833244688</v>
      </c>
      <c r="K347" s="2">
        <v>36.5132268875974</v>
      </c>
    </row>
    <row r="348">
      <c r="A348" s="2">
        <v>346.0</v>
      </c>
      <c r="B348" s="2">
        <v>346.0</v>
      </c>
      <c r="C348" s="2">
        <v>1.30869765808013</v>
      </c>
      <c r="D348" s="2">
        <v>40.395702133423</v>
      </c>
      <c r="E348" s="2">
        <v>90.8259072324457</v>
      </c>
      <c r="F348" s="2">
        <v>131.293897766975</v>
      </c>
      <c r="G348" s="2">
        <v>153.025195158118</v>
      </c>
      <c r="H348" s="2">
        <v>152.093724804026</v>
      </c>
      <c r="I348" s="2">
        <v>128.503780337584</v>
      </c>
      <c r="J348" s="2">
        <v>86.2866315964504</v>
      </c>
      <c r="K348" s="2">
        <v>35.5117661538798</v>
      </c>
    </row>
    <row r="349">
      <c r="A349" s="2">
        <v>347.0</v>
      </c>
      <c r="B349" s="2">
        <v>347.0</v>
      </c>
      <c r="C349" s="2">
        <v>1.50986515791822</v>
      </c>
      <c r="D349" s="2">
        <v>41.1882000566203</v>
      </c>
      <c r="E349" s="2">
        <v>91.6667939924908</v>
      </c>
      <c r="F349" s="2">
        <v>131.950196029212</v>
      </c>
      <c r="G349" s="2">
        <v>153.357295568652</v>
      </c>
      <c r="H349" s="2">
        <v>152.030391993368</v>
      </c>
      <c r="I349" s="2">
        <v>128.042007871968</v>
      </c>
      <c r="J349" s="2">
        <v>85.4961698230647</v>
      </c>
      <c r="K349" s="2">
        <v>34.5207340268668</v>
      </c>
    </row>
    <row r="350">
      <c r="A350" s="2">
        <v>348.0</v>
      </c>
      <c r="B350" s="2">
        <v>348.0</v>
      </c>
      <c r="C350" s="2">
        <v>1.72753525639717</v>
      </c>
      <c r="D350" s="2">
        <v>41.9888968527647</v>
      </c>
      <c r="E350" s="2">
        <v>92.5106959155806</v>
      </c>
      <c r="F350" s="2">
        <v>132.605538300181</v>
      </c>
      <c r="G350" s="2">
        <v>153.685465136291</v>
      </c>
      <c r="H350" s="2">
        <v>151.96144742891</v>
      </c>
      <c r="I350" s="2">
        <v>127.574718787399</v>
      </c>
      <c r="J350" s="2">
        <v>84.7031257257841</v>
      </c>
      <c r="K350" s="2">
        <v>33.5402871212146</v>
      </c>
    </row>
    <row r="351">
      <c r="A351" s="2">
        <v>349.0</v>
      </c>
      <c r="B351" s="2">
        <v>349.0</v>
      </c>
      <c r="C351" s="2">
        <v>1.96196071356804</v>
      </c>
      <c r="D351" s="2">
        <v>42.7977255119758</v>
      </c>
      <c r="E351" s="2">
        <v>93.3575091188625</v>
      </c>
      <c r="F351" s="2">
        <v>133.259823726652</v>
      </c>
      <c r="G351" s="2">
        <v>154.009633745086</v>
      </c>
      <c r="H351" s="2">
        <v>151.886872295945</v>
      </c>
      <c r="I351" s="2">
        <v>127.101960622715</v>
      </c>
      <c r="J351" s="2">
        <v>83.9076276737442</v>
      </c>
      <c r="K351" s="2">
        <v>32.5705879822813</v>
      </c>
    </row>
    <row r="352">
      <c r="A352" s="2">
        <v>350.0</v>
      </c>
      <c r="B352" s="2">
        <v>350.0</v>
      </c>
      <c r="C352" s="2">
        <v>2.21337326807456</v>
      </c>
      <c r="D352" s="2">
        <v>43.6146155097855</v>
      </c>
      <c r="E352" s="2">
        <v>94.2071278427386</v>
      </c>
      <c r="F352" s="2">
        <v>133.912951049725</v>
      </c>
      <c r="G352" s="2">
        <v>154.329732159062</v>
      </c>
      <c r="H352" s="2">
        <v>151.806649615712</v>
      </c>
      <c r="I352" s="2">
        <v>126.623783192677</v>
      </c>
      <c r="J352" s="2">
        <v>83.1098059714714</v>
      </c>
      <c r="K352" s="2">
        <v>31.6118056645577</v>
      </c>
    </row>
    <row r="353">
      <c r="A353" s="2">
        <v>351.0</v>
      </c>
      <c r="B353" s="2">
        <v>351.0</v>
      </c>
      <c r="C353" s="2">
        <v>2.48198576250936</v>
      </c>
      <c r="D353" s="2">
        <v>44.439494704571</v>
      </c>
      <c r="E353" s="2">
        <v>95.0594462922767</v>
      </c>
      <c r="F353" s="2">
        <v>134.564819846879</v>
      </c>
      <c r="G353" s="2">
        <v>154.645692375751</v>
      </c>
      <c r="H353" s="2">
        <v>151.720763604194</v>
      </c>
      <c r="I353" s="2">
        <v>126.140237017455</v>
      </c>
      <c r="J353" s="2">
        <v>82.3097905975537</v>
      </c>
      <c r="K353" s="2">
        <v>30.6641124409807</v>
      </c>
    </row>
    <row r="354">
      <c r="A354" s="2">
        <v>352.0</v>
      </c>
      <c r="B354" s="2">
        <v>352.0</v>
      </c>
      <c r="C354" s="2">
        <v>2.76799289437837</v>
      </c>
      <c r="D354" s="2">
        <v>45.2722874612225</v>
      </c>
      <c r="E354" s="2">
        <v>95.9143568287015</v>
      </c>
      <c r="F354" s="2">
        <v>135.215329323844</v>
      </c>
      <c r="G354" s="2">
        <v>154.957447295141</v>
      </c>
      <c r="H354" s="2">
        <v>151.629200313277</v>
      </c>
      <c r="I354" s="2">
        <v>125.651374860106</v>
      </c>
      <c r="J354" s="2">
        <v>81.5077133869939</v>
      </c>
      <c r="K354" s="2">
        <v>29.727685578399</v>
      </c>
    </row>
    <row r="355">
      <c r="A355" s="2">
        <v>353.0</v>
      </c>
      <c r="B355" s="2">
        <v>353.0</v>
      </c>
      <c r="C355" s="2">
        <v>3.071572860843</v>
      </c>
      <c r="D355" s="2">
        <v>46.1129160228954</v>
      </c>
      <c r="E355" s="2">
        <v>96.7717513241011</v>
      </c>
      <c r="F355" s="2">
        <v>135.864379267178</v>
      </c>
      <c r="G355" s="2">
        <v>155.26493105667</v>
      </c>
      <c r="H355" s="2">
        <v>151.531947264953</v>
      </c>
      <c r="I355" s="2">
        <v>125.157250691813</v>
      </c>
      <c r="J355" s="2">
        <v>80.703706486394</v>
      </c>
      <c r="K355" s="2">
        <v>28.8027050115514</v>
      </c>
    </row>
    <row r="356">
      <c r="A356" s="2">
        <v>354.0</v>
      </c>
      <c r="B356" s="2">
        <v>354.0</v>
      </c>
      <c r="C356" s="2">
        <v>3.39288816308037</v>
      </c>
      <c r="D356" s="2">
        <v>46.961299756058</v>
      </c>
      <c r="E356" s="2">
        <v>97.6315204351768</v>
      </c>
      <c r="F356" s="2">
        <v>136.511869555282</v>
      </c>
      <c r="G356" s="2">
        <v>155.568078895517</v>
      </c>
      <c r="H356" s="2">
        <v>151.428993689375</v>
      </c>
      <c r="I356" s="2">
        <v>124.65792027973</v>
      </c>
      <c r="J356" s="2">
        <v>79.897903186912</v>
      </c>
      <c r="K356" s="2">
        <v>27.8893537446962</v>
      </c>
    </row>
    <row r="357">
      <c r="A357" s="2">
        <v>355.0</v>
      </c>
      <c r="B357" s="2">
        <v>355.0</v>
      </c>
      <c r="C357" s="2">
        <v>3.73208662015581</v>
      </c>
      <c r="D357" s="2">
        <v>47.8173553389564</v>
      </c>
      <c r="E357" s="2">
        <v>98.4935537726002</v>
      </c>
      <c r="F357" s="2">
        <v>137.157700253488</v>
      </c>
      <c r="G357" s="2">
        <v>155.866827135745</v>
      </c>
      <c r="H357" s="2">
        <v>151.320330408537</v>
      </c>
      <c r="I357" s="2">
        <v>124.153440971125</v>
      </c>
      <c r="J357" s="2">
        <v>79.0904376334803</v>
      </c>
      <c r="K357" s="2">
        <v>26.9878170803861</v>
      </c>
    </row>
    <row r="358">
      <c r="A358" s="2">
        <v>356.0</v>
      </c>
      <c r="B358" s="2">
        <v>356.0</v>
      </c>
      <c r="C358" s="2">
        <v>4.08930249168189</v>
      </c>
      <c r="D358" s="2">
        <v>48.6809973980592</v>
      </c>
      <c r="E358" s="2">
        <v>99.3577405259468</v>
      </c>
      <c r="F358" s="2">
        <v>137.801772064019</v>
      </c>
      <c r="G358" s="2">
        <v>156.161113370237</v>
      </c>
      <c r="H358" s="2">
        <v>151.205949704938</v>
      </c>
      <c r="I358" s="2">
        <v>123.643871262937</v>
      </c>
      <c r="J358" s="2">
        <v>78.2814441652715</v>
      </c>
      <c r="K358" s="2">
        <v>26.0982814904873</v>
      </c>
    </row>
    <row r="359">
      <c r="A359" s="2">
        <v>357.0</v>
      </c>
      <c r="B359" s="2">
        <v>357.0</v>
      </c>
      <c r="C359" s="2">
        <v>4.46465675765832</v>
      </c>
      <c r="D359" s="2">
        <v>49.5521373518622</v>
      </c>
      <c r="E359" s="2">
        <v>100.223968397787</v>
      </c>
      <c r="F359" s="2">
        <v>138.443985649307</v>
      </c>
      <c r="G359" s="2">
        <v>156.450876322552</v>
      </c>
      <c r="H359" s="2">
        <v>151.085845762091</v>
      </c>
      <c r="I359" s="2">
        <v>123.129271756784</v>
      </c>
      <c r="J359" s="2">
        <v>77.4710586086751</v>
      </c>
      <c r="K359" s="2">
        <v>25.2209355565814</v>
      </c>
    </row>
    <row r="360">
      <c r="A360" s="2">
        <v>358.0</v>
      </c>
      <c r="B360" s="2">
        <v>358.0</v>
      </c>
      <c r="C360" s="2">
        <v>4.85825824117652</v>
      </c>
      <c r="D360" s="2">
        <v>50.4306844177849</v>
      </c>
      <c r="E360" s="2">
        <v>101.092124550109</v>
      </c>
      <c r="F360" s="2">
        <v>139.08424225649</v>
      </c>
      <c r="G360" s="2">
        <v>156.736056010408</v>
      </c>
      <c r="H360" s="2">
        <v>150.960014320105</v>
      </c>
      <c r="I360" s="2">
        <v>122.609704347902</v>
      </c>
      <c r="J360" s="2">
        <v>76.6594171332411</v>
      </c>
      <c r="K360" s="2">
        <v>24.3559684260813</v>
      </c>
    </row>
    <row r="361">
      <c r="A361" s="2">
        <v>359.0</v>
      </c>
      <c r="B361" s="2">
        <v>359.0</v>
      </c>
      <c r="C361" s="2">
        <v>5.27020408317816</v>
      </c>
      <c r="D361" s="2">
        <v>51.3165452119907</v>
      </c>
      <c r="E361" s="2">
        <v>101.962095207147</v>
      </c>
      <c r="F361" s="2">
        <v>139.72244342638</v>
      </c>
      <c r="G361" s="2">
        <v>157.016593618157</v>
      </c>
      <c r="H361" s="2">
        <v>150.828452735027</v>
      </c>
      <c r="I361" s="2">
        <v>122.085232459923</v>
      </c>
      <c r="J361" s="2">
        <v>75.8466566092876</v>
      </c>
      <c r="K361" s="2">
        <v>23.5035698782789</v>
      </c>
    </row>
    <row r="362">
      <c r="A362" s="2">
        <v>360.0</v>
      </c>
      <c r="B362" s="2">
        <v>360.0</v>
      </c>
      <c r="C362" s="2">
        <v>5.70058043438909</v>
      </c>
      <c r="D362" s="2">
        <v>52.209624015387</v>
      </c>
      <c r="E362" s="2">
        <v>102.833765949791</v>
      </c>
      <c r="F362" s="2">
        <v>140.358491250747</v>
      </c>
      <c r="G362" s="2">
        <v>157.292431668399</v>
      </c>
      <c r="H362" s="2">
        <v>150.691160032834</v>
      </c>
      <c r="I362" s="2">
        <v>121.55592096833</v>
      </c>
      <c r="J362" s="2">
        <v>75.032914410351</v>
      </c>
      <c r="K362" s="2">
        <v>22.6639297739658</v>
      </c>
    </row>
    <row r="363">
      <c r="A363" s="2">
        <v>361.0</v>
      </c>
      <c r="B363" s="2">
        <v>361.0</v>
      </c>
      <c r="C363" s="2">
        <v>6.14946268066621</v>
      </c>
      <c r="D363" s="2">
        <v>53.1098221760945</v>
      </c>
      <c r="E363" s="2">
        <v>103.707021171112</v>
      </c>
      <c r="F363" s="2">
        <v>140.992288022563</v>
      </c>
      <c r="G363" s="2">
        <v>157.563513937923</v>
      </c>
      <c r="H363" s="2">
        <v>150.548137108726</v>
      </c>
      <c r="I363" s="2">
        <v>121.021836647929</v>
      </c>
      <c r="J363" s="2">
        <v>74.2183290123324</v>
      </c>
      <c r="K363" s="2">
        <v>21.8372383401924</v>
      </c>
    </row>
    <row r="364">
      <c r="A364" s="2">
        <v>362.0</v>
      </c>
      <c r="B364" s="2">
        <v>362.0</v>
      </c>
      <c r="C364" s="2">
        <v>6.61691646118538</v>
      </c>
      <c r="D364" s="2">
        <v>54.0170391397105</v>
      </c>
      <c r="E364" s="2">
        <v>104.581745000363</v>
      </c>
      <c r="F364" s="2">
        <v>141.623736808029</v>
      </c>
      <c r="G364" s="2">
        <v>157.829785553069</v>
      </c>
      <c r="H364" s="2">
        <v>150.399386314355</v>
      </c>
      <c r="I364" s="2">
        <v>120.48304730999</v>
      </c>
      <c r="J364" s="2">
        <v>73.4030388346917</v>
      </c>
      <c r="K364" s="2">
        <v>21.0236847862483</v>
      </c>
    </row>
    <row r="365">
      <c r="A365" s="2">
        <v>363.0</v>
      </c>
      <c r="B365" s="2">
        <v>363.0</v>
      </c>
      <c r="C365" s="2">
        <v>7.10299771264538</v>
      </c>
      <c r="D365" s="2">
        <v>54.9311716606346</v>
      </c>
      <c r="E365" s="2">
        <v>105.457820597189</v>
      </c>
      <c r="F365" s="2">
        <v>142.252741011562</v>
      </c>
      <c r="G365" s="2">
        <v>158.091192916905</v>
      </c>
      <c r="H365" s="2">
        <v>150.244911766231</v>
      </c>
      <c r="I365" s="2">
        <v>119.939622440423</v>
      </c>
      <c r="J365" s="2">
        <v>72.5871830769448</v>
      </c>
      <c r="K365" s="2">
        <v>20.2234578332127</v>
      </c>
    </row>
    <row r="366">
      <c r="A366" s="2">
        <v>364.0</v>
      </c>
      <c r="B366" s="2">
        <v>364.0</v>
      </c>
      <c r="C366" s="2">
        <v>7.60775319477555</v>
      </c>
      <c r="D366" s="2">
        <v>55.8521140567921</v>
      </c>
      <c r="E366" s="2">
        <v>106.335130418964</v>
      </c>
      <c r="F366" s="2">
        <v>142.879204592742</v>
      </c>
      <c r="G366" s="2">
        <v>158.347683833005</v>
      </c>
      <c r="H366" s="2">
        <v>150.084719351441</v>
      </c>
      <c r="I366" s="2">
        <v>119.391633081606</v>
      </c>
      <c r="J366" s="2">
        <v>71.7709014914207</v>
      </c>
      <c r="K366" s="2">
        <v>19.4367451997367</v>
      </c>
    </row>
    <row r="367">
      <c r="A367" s="2">
        <v>365.0</v>
      </c>
      <c r="B367" s="2">
        <v>365.0</v>
      </c>
      <c r="C367" s="2">
        <v>8.1312208799898</v>
      </c>
      <c r="D367" s="2">
        <v>56.7797582187745</v>
      </c>
      <c r="E367" s="2">
        <v>107.213556219612</v>
      </c>
      <c r="F367" s="2">
        <v>143.503032051599</v>
      </c>
      <c r="G367" s="2">
        <v>158.599207476239</v>
      </c>
      <c r="H367" s="2">
        <v>149.91881668495</v>
      </c>
      <c r="I367" s="2">
        <v>118.839151777607</v>
      </c>
      <c r="J367" s="2">
        <v>70.9543343145713</v>
      </c>
      <c r="K367" s="2">
        <v>18.6637332896687</v>
      </c>
    </row>
    <row r="368">
      <c r="A368" s="2">
        <v>366.0</v>
      </c>
      <c r="B368" s="2">
        <v>366.0</v>
      </c>
      <c r="C368" s="2">
        <v>8.6734304509051</v>
      </c>
      <c r="D368" s="2">
        <v>57.7139938518498</v>
      </c>
      <c r="E368" s="2">
        <v>108.092979272615</v>
      </c>
      <c r="F368" s="2">
        <v>144.124128578973</v>
      </c>
      <c r="G368" s="2">
        <v>158.845714439436</v>
      </c>
      <c r="H368" s="2">
        <v>149.747213040765</v>
      </c>
      <c r="I368" s="2">
        <v>118.282252397075</v>
      </c>
      <c r="J368" s="2">
        <v>70.1376220085477</v>
      </c>
      <c r="K368" s="2">
        <v>17.9046067050643</v>
      </c>
    </row>
    <row r="369">
      <c r="A369" s="2">
        <v>367.0</v>
      </c>
      <c r="B369" s="2">
        <v>367.0</v>
      </c>
      <c r="C369" s="2">
        <v>9.23440339133667</v>
      </c>
      <c r="D369" s="2">
        <v>58.65470807297</v>
      </c>
      <c r="E369" s="2">
        <v>108.973280015497</v>
      </c>
      <c r="F369" s="2">
        <v>144.742399835669</v>
      </c>
      <c r="G369" s="2">
        <v>159.087156689283</v>
      </c>
      <c r="H369" s="2">
        <v>149.569919491523</v>
      </c>
      <c r="I369" s="2">
        <v>117.721010427805</v>
      </c>
      <c r="J369" s="2">
        <v>69.3209056377834</v>
      </c>
      <c r="K369" s="2">
        <v>17.1595483308298</v>
      </c>
    </row>
    <row r="370">
      <c r="A370" s="2">
        <v>368.0</v>
      </c>
      <c r="B370" s="2">
        <v>368.0</v>
      </c>
      <c r="C370" s="2">
        <v>9.8141537093326</v>
      </c>
      <c r="D370" s="2">
        <v>59.6017860886286</v>
      </c>
      <c r="E370" s="2">
        <v>109.854338659797</v>
      </c>
      <c r="F370" s="2">
        <v>145.357752348461</v>
      </c>
      <c r="G370" s="2">
        <v>159.32348766975</v>
      </c>
      <c r="H370" s="2">
        <v>149.386948696367</v>
      </c>
      <c r="I370" s="2">
        <v>117.155502481794</v>
      </c>
      <c r="J370" s="2">
        <v>68.5043261868569</v>
      </c>
      <c r="K370" s="2">
        <v>16.4287384836806</v>
      </c>
    </row>
    <row r="371">
      <c r="A371" s="2">
        <v>369.0</v>
      </c>
      <c r="B371" s="2">
        <v>369.0</v>
      </c>
      <c r="C371" s="2">
        <v>10.4126877080168</v>
      </c>
      <c r="D371" s="2">
        <v>60.5551103792118</v>
      </c>
      <c r="E371" s="2">
        <v>110.736034497244</v>
      </c>
      <c r="F371" s="2">
        <v>145.970093109145</v>
      </c>
      <c r="G371" s="2">
        <v>159.554662273127</v>
      </c>
      <c r="H371" s="2">
        <v>149.19831525066</v>
      </c>
      <c r="I371" s="2">
        <v>116.585806958507</v>
      </c>
      <c r="J371" s="2">
        <v>67.6880253861677</v>
      </c>
      <c r="K371" s="2">
        <v>15.712355357851</v>
      </c>
    </row>
    <row r="372">
      <c r="A372" s="2">
        <v>370.0</v>
      </c>
      <c r="B372" s="2">
        <v>370.0</v>
      </c>
      <c r="C372" s="2">
        <v>11.0300046725054</v>
      </c>
      <c r="D372" s="2">
        <v>61.5145613359702</v>
      </c>
      <c r="E372" s="2">
        <v>111.618246429624</v>
      </c>
      <c r="F372" s="2">
        <v>146.579329862486</v>
      </c>
      <c r="G372" s="2">
        <v>159.780636823811</v>
      </c>
      <c r="H372" s="2">
        <v>149.004035360893</v>
      </c>
      <c r="I372" s="2">
        <v>116.012003460847</v>
      </c>
      <c r="J372" s="2">
        <v>66.8721449775738</v>
      </c>
      <c r="K372" s="2">
        <v>15.0105741628662</v>
      </c>
    </row>
    <row r="373">
      <c r="A373" s="2">
        <v>371.0</v>
      </c>
      <c r="B373" s="2">
        <v>371.0</v>
      </c>
      <c r="C373" s="2">
        <v>11.666097174244</v>
      </c>
      <c r="D373" s="2">
        <v>62.4800173409952</v>
      </c>
      <c r="E373" s="2">
        <v>112.50085308247</v>
      </c>
      <c r="F373" s="2">
        <v>147.185371237806</v>
      </c>
      <c r="G373" s="2">
        <v>160.001369206889</v>
      </c>
      <c r="H373" s="2">
        <v>148.804126948957</v>
      </c>
      <c r="I373" s="2">
        <v>115.434172856167</v>
      </c>
      <c r="J373" s="2">
        <v>66.0568267166009</v>
      </c>
      <c r="K373" s="2">
        <v>14.3235668515031</v>
      </c>
    </row>
    <row r="374">
      <c r="A374" s="2">
        <v>372.0</v>
      </c>
      <c r="B374" s="2">
        <v>372.0</v>
      </c>
      <c r="C374" s="2">
        <v>12.3209508771309</v>
      </c>
      <c r="D374" s="2">
        <v>63.4513541104055</v>
      </c>
      <c r="E374" s="2">
        <v>113.383732221196</v>
      </c>
      <c r="F374" s="2">
        <v>147.788126368163</v>
      </c>
      <c r="G374" s="2">
        <v>160.216818757991</v>
      </c>
      <c r="H374" s="2">
        <v>148.598609827905</v>
      </c>
      <c r="I374" s="2">
        <v>114.852397697783</v>
      </c>
      <c r="J374" s="2">
        <v>65.2422129279065</v>
      </c>
      <c r="K374" s="2">
        <v>13.6515023160937</v>
      </c>
    </row>
    <row r="375">
      <c r="A375" s="2">
        <v>373.0</v>
      </c>
      <c r="B375" s="2">
        <v>373.0</v>
      </c>
      <c r="C375" s="2">
        <v>12.9945454027757</v>
      </c>
      <c r="D375" s="2">
        <v>64.428445635474</v>
      </c>
      <c r="E375" s="2">
        <v>114.266761593367</v>
      </c>
      <c r="F375" s="2">
        <v>148.387505444725</v>
      </c>
      <c r="G375" s="2">
        <v>160.426946426674</v>
      </c>
      <c r="H375" s="2">
        <v>148.387505444725</v>
      </c>
      <c r="I375" s="2">
        <v>114.266761593367</v>
      </c>
      <c r="J375" s="2">
        <v>64.428445635474</v>
      </c>
      <c r="K375" s="2">
        <v>12.9945454027757</v>
      </c>
    </row>
    <row r="376">
      <c r="A376" s="2">
        <v>374.0</v>
      </c>
      <c r="B376" s="2">
        <v>374.0</v>
      </c>
      <c r="C376" s="2">
        <v>13.7430463356802</v>
      </c>
      <c r="D376" s="2">
        <v>65.4900201063997</v>
      </c>
      <c r="E376" s="2">
        <v>115.220460337006</v>
      </c>
      <c r="F376" s="2">
        <v>149.030940034941</v>
      </c>
      <c r="G376" s="2">
        <v>160.647863429492</v>
      </c>
      <c r="H376" s="2">
        <v>148.153263874799</v>
      </c>
      <c r="I376" s="2">
        <v>113.630036058519</v>
      </c>
      <c r="J376" s="2">
        <v>63.5506917622916</v>
      </c>
      <c r="K376" s="2">
        <v>12.3021863327576</v>
      </c>
    </row>
    <row r="377">
      <c r="A377" s="2">
        <v>375.0</v>
      </c>
      <c r="B377" s="2">
        <v>375.0</v>
      </c>
      <c r="C377" s="2">
        <v>14.5133342589589</v>
      </c>
      <c r="D377" s="2">
        <v>66.5579927281122</v>
      </c>
      <c r="E377" s="2">
        <v>116.174035842275</v>
      </c>
      <c r="F377" s="2">
        <v>149.670221678883</v>
      </c>
      <c r="G377" s="2">
        <v>160.862483915081</v>
      </c>
      <c r="H377" s="2">
        <v>147.91256395843</v>
      </c>
      <c r="I377" s="2">
        <v>112.989015124128</v>
      </c>
      <c r="J377" s="2">
        <v>62.6742702729751</v>
      </c>
      <c r="K377" s="2">
        <v>11.627833447379</v>
      </c>
    </row>
    <row r="378">
      <c r="A378" s="2">
        <v>376.0</v>
      </c>
      <c r="B378" s="2">
        <v>376.0</v>
      </c>
      <c r="C378" s="2">
        <v>15.3053602216461</v>
      </c>
      <c r="D378" s="2">
        <v>67.6321960409259</v>
      </c>
      <c r="E378" s="2">
        <v>117.127332326059</v>
      </c>
      <c r="F378" s="2">
        <v>150.305240304068</v>
      </c>
      <c r="G378" s="2">
        <v>161.070764733828</v>
      </c>
      <c r="H378" s="2">
        <v>147.665439657573</v>
      </c>
      <c r="I378" s="2">
        <v>112.343809456249</v>
      </c>
      <c r="J378" s="2">
        <v>61.7993603844763</v>
      </c>
      <c r="K378" s="2">
        <v>10.9716774227559</v>
      </c>
    </row>
    <row r="379">
      <c r="A379" s="2">
        <v>377.0</v>
      </c>
      <c r="B379" s="2">
        <v>377.0</v>
      </c>
      <c r="C379" s="2">
        <v>16.1190679590787</v>
      </c>
      <c r="D379" s="2">
        <v>68.7124598231184</v>
      </c>
      <c r="E379" s="2">
        <v>118.080193663325</v>
      </c>
      <c r="F379" s="2">
        <v>150.935887130733</v>
      </c>
      <c r="G379" s="2">
        <v>161.272664975386</v>
      </c>
      <c r="H379" s="2">
        <v>147.411927369422</v>
      </c>
      <c r="I379" s="2">
        <v>111.694531469721</v>
      </c>
      <c r="J379" s="2">
        <v>60.9261411797842</v>
      </c>
      <c r="K379" s="2">
        <v>10.3339019726008</v>
      </c>
    </row>
    <row r="380">
      <c r="A380" s="2">
        <v>378.0</v>
      </c>
      <c r="B380" s="2">
        <v>378.0</v>
      </c>
      <c r="C380" s="2">
        <v>16.9543947645759</v>
      </c>
      <c r="D380" s="2">
        <v>69.7986117519416</v>
      </c>
      <c r="E380" s="2">
        <v>119.03246386784</v>
      </c>
      <c r="F380" s="2">
        <v>151.562054861976</v>
      </c>
      <c r="G380" s="2">
        <v>161.468145829506</v>
      </c>
      <c r="H380" s="2">
        <v>147.152065478408</v>
      </c>
      <c r="I380" s="2">
        <v>111.041294647571</v>
      </c>
      <c r="J380" s="2">
        <v>60.0547908316674</v>
      </c>
      <c r="K380" s="2">
        <v>9.71468287668777</v>
      </c>
    </row>
    <row r="381">
      <c r="A381" s="2">
        <v>379.0</v>
      </c>
      <c r="B381" s="2">
        <v>379.0</v>
      </c>
      <c r="C381" s="2">
        <v>17.8112703870131</v>
      </c>
      <c r="D381" s="2">
        <v>70.8904757403418</v>
      </c>
      <c r="E381" s="2">
        <v>119.983985831848</v>
      </c>
      <c r="F381" s="2">
        <v>152.183637106299</v>
      </c>
      <c r="G381" s="2">
        <v>161.657170795358</v>
      </c>
      <c r="H381" s="2">
        <v>146.885895309425</v>
      </c>
      <c r="I381" s="2">
        <v>110.384215049288</v>
      </c>
      <c r="J381" s="2">
        <v>59.1854882935252</v>
      </c>
      <c r="K381" s="2">
        <v>9.11418857343635</v>
      </c>
    </row>
    <row r="382">
      <c r="A382" s="2">
        <v>380.0</v>
      </c>
      <c r="B382" s="2">
        <v>380.0</v>
      </c>
      <c r="C382" s="2">
        <v>18.6896189823792</v>
      </c>
      <c r="D382" s="2">
        <v>71.9878739533402</v>
      </c>
      <c r="E382" s="2">
        <v>120.934602912126</v>
      </c>
      <c r="F382" s="2">
        <v>152.800529186833</v>
      </c>
      <c r="G382" s="2">
        <v>161.839705566857</v>
      </c>
      <c r="H382" s="2">
        <v>146.613460111656</v>
      </c>
      <c r="I382" s="2">
        <v>109.723409584136</v>
      </c>
      <c r="J382" s="2">
        <v>58.3184112549357</v>
      </c>
      <c r="K382" s="2">
        <v>8.53257826899549</v>
      </c>
    </row>
    <row r="383">
      <c r="A383" s="2">
        <v>381.0</v>
      </c>
      <c r="B383" s="2">
        <v>381.0</v>
      </c>
      <c r="C383" s="2">
        <v>19.5893579431818</v>
      </c>
      <c r="D383" s="2">
        <v>73.0906250506833</v>
      </c>
      <c r="E383" s="2">
        <v>121.884157530373</v>
      </c>
      <c r="F383" s="2">
        <v>153.412627392658</v>
      </c>
      <c r="G383" s="2">
        <v>162.015718061442</v>
      </c>
      <c r="H383" s="2">
        <v>146.334805846626</v>
      </c>
      <c r="I383" s="2">
        <v>109.058997390936</v>
      </c>
      <c r="J383" s="2">
        <v>57.4537377508805</v>
      </c>
      <c r="K383" s="2">
        <v>7.97000240944738</v>
      </c>
    </row>
    <row r="384">
      <c r="A384" s="2">
        <v>382.0</v>
      </c>
      <c r="B384" s="2">
        <v>382.0</v>
      </c>
      <c r="C384" s="2">
        <v>20.510399782822</v>
      </c>
      <c r="D384" s="2">
        <v>74.198546086837</v>
      </c>
      <c r="E384" s="2">
        <v>122.83249272075</v>
      </c>
      <c r="F384" s="2">
        <v>154.019829856743</v>
      </c>
      <c r="G384" s="2">
        <v>162.185178479203</v>
      </c>
      <c r="H384" s="2">
        <v>146.049980428364</v>
      </c>
      <c r="I384" s="2">
        <v>108.391098412862</v>
      </c>
      <c r="J384" s="2">
        <v>56.5916444155628</v>
      </c>
      <c r="K384" s="2">
        <v>7.42660095575547</v>
      </c>
    </row>
    <row r="385">
      <c r="A385" s="2">
        <v>383.0</v>
      </c>
      <c r="B385" s="2">
        <v>383.0</v>
      </c>
      <c r="C385" s="2">
        <v>21.4526511127416</v>
      </c>
      <c r="D385" s="2">
        <v>75.311450966062</v>
      </c>
      <c r="E385" s="2">
        <v>123.779450909359</v>
      </c>
      <c r="F385" s="2">
        <v>154.622035908732</v>
      </c>
      <c r="G385" s="2">
        <v>162.348059335023</v>
      </c>
      <c r="H385" s="2">
        <v>145.759034415036</v>
      </c>
      <c r="I385" s="2">
        <v>107.719834597604</v>
      </c>
      <c r="J385" s="2">
        <v>55.7323078660234</v>
      </c>
      <c r="K385" s="2">
        <v>6.90250358992123</v>
      </c>
    </row>
    <row r="386">
      <c r="A386" s="2">
        <v>384.0</v>
      </c>
      <c r="B386" s="2">
        <v>384.0</v>
      </c>
      <c r="C386" s="2">
        <v>22.4160135615595</v>
      </c>
      <c r="D386" s="2">
        <v>76.4291511490348</v>
      </c>
      <c r="E386" s="2">
        <v>124.724874462188</v>
      </c>
      <c r="F386" s="2">
        <v>155.219146346746</v>
      </c>
      <c r="G386" s="2">
        <v>162.504335404937</v>
      </c>
      <c r="H386" s="2">
        <v>145.462020638878</v>
      </c>
      <c r="I386" s="2">
        <v>107.045329277006</v>
      </c>
      <c r="J386" s="2">
        <v>54.8759039619006</v>
      </c>
      <c r="K386" s="2">
        <v>6.39782855530416</v>
      </c>
    </row>
    <row r="387">
      <c r="A387" s="2">
        <v>385.0</v>
      </c>
      <c r="B387" s="2">
        <v>385.0</v>
      </c>
      <c r="C387" s="2">
        <v>23.400384376023</v>
      </c>
      <c r="D387" s="2">
        <v>77.551455982627</v>
      </c>
      <c r="E387" s="2">
        <v>125.668605983424</v>
      </c>
      <c r="F387" s="2">
        <v>155.811063649714</v>
      </c>
      <c r="G387" s="2">
        <v>162.653983818032</v>
      </c>
      <c r="H387" s="2">
        <v>145.158994163607</v>
      </c>
      <c r="I387" s="2">
        <v>106.367706998241</v>
      </c>
      <c r="J387" s="2">
        <v>54.0226075432833</v>
      </c>
      <c r="K387" s="2">
        <v>5.91268174861608</v>
      </c>
    </row>
    <row r="388">
      <c r="A388" s="2">
        <v>386.0</v>
      </c>
      <c r="B388" s="2">
        <v>386.0</v>
      </c>
      <c r="C388" s="2">
        <v>24.4056561581812</v>
      </c>
      <c r="D388" s="2">
        <v>78.6781720361904</v>
      </c>
      <c r="E388" s="2">
        <v>126.610487790796</v>
      </c>
      <c r="F388" s="2">
        <v>156.397691689498</v>
      </c>
      <c r="G388" s="2">
        <v>162.796984047576</v>
      </c>
      <c r="H388" s="2">
        <v>144.850012544907</v>
      </c>
      <c r="I388" s="2">
        <v>105.687093987309</v>
      </c>
      <c r="J388" s="2">
        <v>53.1725929481645</v>
      </c>
      <c r="K388" s="2">
        <v>5.44715619162616</v>
      </c>
    </row>
    <row r="389">
      <c r="A389" s="2">
        <v>387.0</v>
      </c>
      <c r="B389" s="2">
        <v>387.0</v>
      </c>
      <c r="C389" s="2">
        <v>25.4317178997663</v>
      </c>
      <c r="D389" s="2">
        <v>79.8091038150463</v>
      </c>
      <c r="E389" s="2">
        <v>127.550362444381</v>
      </c>
      <c r="F389" s="2">
        <v>156.978935968647</v>
      </c>
      <c r="G389" s="2">
        <v>162.933317817983</v>
      </c>
      <c r="H389" s="2">
        <v>144.535135425185</v>
      </c>
      <c r="I389" s="2">
        <v>105.003617507533</v>
      </c>
      <c r="J389" s="2">
        <v>52.3260332767664</v>
      </c>
      <c r="K389" s="2">
        <v>5.00133075678526</v>
      </c>
    </row>
    <row r="390">
      <c r="A390" s="2">
        <v>388.0</v>
      </c>
      <c r="B390" s="2">
        <v>388.0</v>
      </c>
      <c r="C390" s="2">
        <v>26.4784552414428</v>
      </c>
      <c r="D390" s="2">
        <v>80.944053687401</v>
      </c>
      <c r="E390" s="2">
        <v>128.488072779684</v>
      </c>
      <c r="F390" s="2">
        <v>157.55470376104</v>
      </c>
      <c r="G390" s="2">
        <v>163.062969330861</v>
      </c>
      <c r="H390" s="2">
        <v>144.214424806125</v>
      </c>
      <c r="I390" s="2">
        <v>104.317406126268</v>
      </c>
      <c r="J390" s="2">
        <v>51.4831005800257</v>
      </c>
      <c r="K390" s="2">
        <v>4.57526928945504</v>
      </c>
    </row>
    <row r="391">
      <c r="A391" s="2">
        <v>389.0</v>
      </c>
      <c r="B391" s="2">
        <v>389.0</v>
      </c>
      <c r="C391" s="2">
        <v>27.5457501924145</v>
      </c>
      <c r="D391" s="2">
        <v>82.0828211119799</v>
      </c>
      <c r="E391" s="2">
        <v>129.423461234552</v>
      </c>
      <c r="F391" s="2">
        <v>158.124903649281</v>
      </c>
      <c r="G391" s="2">
        <v>163.185925077568</v>
      </c>
      <c r="H391" s="2">
        <v>143.887945150497</v>
      </c>
      <c r="I391" s="2">
        <v>103.628590058743</v>
      </c>
      <c r="J391" s="2">
        <v>50.6439663021614</v>
      </c>
      <c r="K391" s="2">
        <v>4.16901978558236</v>
      </c>
    </row>
    <row r="392">
      <c r="A392" s="2">
        <v>390.0</v>
      </c>
      <c r="B392" s="2">
        <v>390.0</v>
      </c>
      <c r="C392" s="2">
        <v>28.6334830466455</v>
      </c>
      <c r="D392" s="2">
        <v>83.2252042022447</v>
      </c>
      <c r="E392" s="2">
        <v>130.356371116971</v>
      </c>
      <c r="F392" s="2">
        <v>158.689446270079</v>
      </c>
      <c r="G392" s="2">
        <v>163.302173951609</v>
      </c>
      <c r="H392" s="2">
        <v>143.55576286285</v>
      </c>
      <c r="I392" s="2">
        <v>102.937300139508</v>
      </c>
      <c r="J392" s="2">
        <v>49.8088000245491</v>
      </c>
      <c r="K392" s="2">
        <v>3.78261262662669</v>
      </c>
    </row>
    <row r="393">
      <c r="A393" s="2">
        <v>391.0</v>
      </c>
      <c r="B393" s="2">
        <v>391.0</v>
      </c>
      <c r="C393" s="2">
        <v>29.7415317552648</v>
      </c>
      <c r="D393" s="2">
        <v>84.3709985532704</v>
      </c>
      <c r="E393" s="2">
        <v>131.286645683164</v>
      </c>
      <c r="F393" s="2">
        <v>159.248243805455</v>
      </c>
      <c r="G393" s="2">
        <v>163.411707224559</v>
      </c>
      <c r="H393" s="2">
        <v>143.21794673369</v>
      </c>
      <c r="I393" s="2">
        <v>102.243668621293</v>
      </c>
      <c r="J393" s="2">
        <v>48.9777703646388</v>
      </c>
      <c r="K393" s="2">
        <v>3.41605975881771</v>
      </c>
    </row>
    <row r="394">
      <c r="A394" s="2">
        <v>392.0</v>
      </c>
      <c r="B394" s="2">
        <v>392.0</v>
      </c>
      <c r="C394" s="2">
        <v>30.8697724861728</v>
      </c>
      <c r="D394" s="2">
        <v>85.5199972978183</v>
      </c>
      <c r="E394" s="2">
        <v>132.214128202398</v>
      </c>
      <c r="F394" s="2">
        <v>159.801210038242</v>
      </c>
      <c r="G394" s="2">
        <v>163.514518579591</v>
      </c>
      <c r="H394" s="2">
        <v>142.87456794145</v>
      </c>
      <c r="I394" s="2">
        <v>101.547829137194</v>
      </c>
      <c r="J394" s="2">
        <v>48.1510448825384</v>
      </c>
      <c r="K394" s="2">
        <v>3.06935322651778</v>
      </c>
    </row>
    <row r="395">
      <c r="A395" s="2">
        <v>393.0</v>
      </c>
      <c r="B395" s="2">
        <v>393.0</v>
      </c>
      <c r="C395" s="2">
        <v>32.0180815420361</v>
      </c>
      <c r="D395" s="2">
        <v>86.6719924016683</v>
      </c>
      <c r="E395" s="2">
        <v>133.138662954434</v>
      </c>
      <c r="F395" s="2">
        <v>160.348260881606</v>
      </c>
      <c r="G395" s="2">
        <v>163.610604099913</v>
      </c>
      <c r="H395" s="2">
        <v>142.525699520876</v>
      </c>
      <c r="I395" s="2">
        <v>100.849915770804</v>
      </c>
      <c r="J395" s="2">
        <v>47.3287890065826</v>
      </c>
      <c r="K395" s="2">
        <v>2.74246319403506</v>
      </c>
    </row>
    <row r="396">
      <c r="A396" s="2">
        <v>394.0</v>
      </c>
      <c r="B396" s="2">
        <v>394.0</v>
      </c>
      <c r="C396" s="2">
        <v>33.1863345828773</v>
      </c>
      <c r="D396" s="2">
        <v>87.8267732023824</v>
      </c>
      <c r="E396" s="2">
        <v>134.060094088139</v>
      </c>
      <c r="F396" s="2">
        <v>160.889313745654</v>
      </c>
      <c r="G396" s="2">
        <v>163.69996222732</v>
      </c>
      <c r="H396" s="2">
        <v>142.171416891453</v>
      </c>
      <c r="I396" s="2">
        <v>100.150064013444</v>
      </c>
      <c r="J396" s="2">
        <v>46.5111671023423</v>
      </c>
      <c r="K396" s="2">
        <v>2.4353366818676</v>
      </c>
    </row>
    <row r="397">
      <c r="A397" s="2">
        <v>395.0</v>
      </c>
      <c r="B397" s="2">
        <v>395.0</v>
      </c>
      <c r="C397" s="2">
        <v>34.374408229299</v>
      </c>
      <c r="D397" s="2">
        <v>88.984127283264</v>
      </c>
      <c r="E397" s="2">
        <v>134.978266355913</v>
      </c>
      <c r="F397" s="2">
        <v>161.424288007964</v>
      </c>
      <c r="G397" s="2">
        <v>163.782593901035</v>
      </c>
      <c r="H397" s="2">
        <v>141.811797654238</v>
      </c>
      <c r="I397" s="2">
        <v>99.4484102728677</v>
      </c>
      <c r="J397" s="2">
        <v>45.6983418303538</v>
      </c>
      <c r="K397" s="2">
        <v>2.14789537180939</v>
      </c>
    </row>
    <row r="398">
      <c r="A398" s="2">
        <v>396.0</v>
      </c>
      <c r="B398" s="2">
        <v>396.0</v>
      </c>
      <c r="C398" s="2">
        <v>35.5821809893463</v>
      </c>
      <c r="D398" s="2">
        <v>90.1438404571809</v>
      </c>
      <c r="E398" s="2">
        <v>135.89302504429</v>
      </c>
      <c r="F398" s="2">
        <v>161.953104898463</v>
      </c>
      <c r="G398" s="2">
        <v>163.858502413236</v>
      </c>
      <c r="H398" s="2">
        <v>141.446921437959</v>
      </c>
      <c r="I398" s="2">
        <v>98.7450917281608</v>
      </c>
      <c r="J398" s="2">
        <v>44.8904740138171</v>
      </c>
      <c r="K398" s="2">
        <v>1.88003343185398</v>
      </c>
    </row>
    <row r="399">
      <c r="A399" s="2">
        <v>397.0</v>
      </c>
      <c r="B399" s="2">
        <v>397.0</v>
      </c>
      <c r="C399" s="2">
        <v>36.8095338077217</v>
      </c>
      <c r="D399" s="2">
        <v>91.3056963548884</v>
      </c>
      <c r="E399" s="2">
        <v>136.80421569913</v>
      </c>
      <c r="F399" s="2">
        <v>162.475687401038</v>
      </c>
      <c r="G399" s="2">
        <v>163.927693494752</v>
      </c>
      <c r="H399" s="2">
        <v>141.076870143161</v>
      </c>
      <c r="I399" s="2">
        <v>98.0402466694817</v>
      </c>
      <c r="J399" s="2">
        <v>44.0877229496655</v>
      </c>
      <c r="K399" s="2">
        <v>1.63161517780931</v>
      </c>
    </row>
    <row r="400">
      <c r="A400" s="2">
        <v>398.0</v>
      </c>
      <c r="B400" s="2">
        <v>398.0</v>
      </c>
      <c r="C400" s="2">
        <v>38.0563524240521</v>
      </c>
      <c r="D400" s="2">
        <v>92.4694775047143</v>
      </c>
      <c r="E400" s="2">
        <v>137.711684942929</v>
      </c>
      <c r="F400" s="2">
        <v>162.991960679952</v>
      </c>
      <c r="G400" s="2">
        <v>163.990175297446</v>
      </c>
      <c r="H400" s="2">
        <v>140.701727503394</v>
      </c>
      <c r="I400" s="2">
        <v>97.3340137433457</v>
      </c>
      <c r="J400" s="2">
        <v>43.2902455525609</v>
      </c>
      <c r="K400" s="2">
        <v>1.40247204480388</v>
      </c>
    </row>
    <row r="401">
      <c r="A401" s="2">
        <v>399.0</v>
      </c>
      <c r="B401" s="2">
        <v>399.0</v>
      </c>
      <c r="C401" s="2">
        <v>39.322527439299</v>
      </c>
      <c r="D401" s="2">
        <v>93.6349640772285</v>
      </c>
      <c r="E401" s="2">
        <v>138.615279508468</v>
      </c>
      <c r="F401" s="2">
        <v>163.501851545635</v>
      </c>
      <c r="G401" s="2">
        <v>164.04595835564</v>
      </c>
      <c r="H401" s="2">
        <v>140.321579518209</v>
      </c>
      <c r="I401" s="2">
        <v>96.626532731713</v>
      </c>
      <c r="J401" s="2">
        <v>42.4981971969788</v>
      </c>
      <c r="K401" s="2">
        <v>1.19239968102156</v>
      </c>
    </row>
    <row r="402">
      <c r="A402" s="2">
        <v>400.0</v>
      </c>
      <c r="B402" s="2">
        <v>400.0</v>
      </c>
      <c r="C402" s="2">
        <v>40.6079571963556</v>
      </c>
      <c r="D402" s="2">
        <v>94.801935021008</v>
      </c>
      <c r="E402" s="2">
        <v>139.514847133168</v>
      </c>
      <c r="F402" s="2">
        <v>164.005288969905</v>
      </c>
      <c r="G402" s="2">
        <v>164.095055657024</v>
      </c>
      <c r="H402" s="2">
        <v>139.936514090552</v>
      </c>
      <c r="I402" s="2">
        <v>95.9179438516263</v>
      </c>
      <c r="J402" s="2">
        <v>41.7117308900047</v>
      </c>
      <c r="K402" s="2">
        <v>1.00115404423047</v>
      </c>
    </row>
    <row r="403">
      <c r="A403" s="2">
        <v>401.0</v>
      </c>
      <c r="B403" s="2">
        <v>401.0</v>
      </c>
      <c r="C403" s="2">
        <v>41.9125489994653</v>
      </c>
      <c r="D403" s="2">
        <v>95.9701673337823</v>
      </c>
      <c r="E403" s="2">
        <v>140.410236008353</v>
      </c>
      <c r="F403" s="2">
        <v>164.502203790298</v>
      </c>
      <c r="G403" s="2">
        <v>164.137482634649</v>
      </c>
      <c r="H403" s="2">
        <v>139.546621287944</v>
      </c>
      <c r="I403" s="2">
        <v>95.2083882068393</v>
      </c>
      <c r="J403" s="2">
        <v>40.9309977358808</v>
      </c>
      <c r="K403" s="2">
        <v>0.828447261260659</v>
      </c>
    </row>
    <row r="404">
      <c r="A404" s="2">
        <v>402.0</v>
      </c>
      <c r="B404" s="2">
        <v>402.0</v>
      </c>
      <c r="C404" s="2">
        <v>43.2362225136747</v>
      </c>
      <c r="D404" s="2">
        <v>97.13943685467</v>
      </c>
      <c r="E404" s="2">
        <v>141.301295336145</v>
      </c>
      <c r="F404" s="2">
        <v>164.992528948725</v>
      </c>
      <c r="G404" s="2">
        <v>164.173257062905</v>
      </c>
      <c r="H404" s="2">
        <v>139.151992929025</v>
      </c>
      <c r="I404" s="2">
        <v>94.4980071589156</v>
      </c>
      <c r="J404" s="2">
        <v>40.1561462634967</v>
      </c>
      <c r="K404" s="2">
        <v>0.673942447858858</v>
      </c>
    </row>
    <row r="405">
      <c r="A405" s="2">
        <v>403.0</v>
      </c>
      <c r="B405" s="2">
        <v>403.0</v>
      </c>
      <c r="C405" s="2">
        <v>44.5789120361376</v>
      </c>
      <c r="D405" s="2">
        <v>98.3095176084272</v>
      </c>
      <c r="E405" s="2">
        <v>142.187874896283</v>
      </c>
      <c r="F405" s="2">
        <v>165.476199337534</v>
      </c>
      <c r="G405" s="2">
        <v>164.202399192906</v>
      </c>
      <c r="H405" s="2">
        <v>138.752722967484</v>
      </c>
      <c r="I405" s="2">
        <v>93.786942861902</v>
      </c>
      <c r="J405" s="2">
        <v>39.3873229213758</v>
      </c>
      <c r="K405" s="2">
        <v>0.537247811698647</v>
      </c>
    </row>
    <row r="406">
      <c r="A406" s="2">
        <v>404.0</v>
      </c>
      <c r="B406" s="2">
        <v>404.0</v>
      </c>
      <c r="C406" s="2">
        <v>45.9405710017484</v>
      </c>
      <c r="D406" s="2">
        <v>99.4801823081658</v>
      </c>
      <c r="E406" s="2">
        <v>143.069825363176</v>
      </c>
      <c r="F406" s="2">
        <v>165.953151883468</v>
      </c>
      <c r="G406" s="2">
        <v>164.224931598861</v>
      </c>
      <c r="H406" s="2">
        <v>138.348907135744</v>
      </c>
      <c r="I406" s="2">
        <v>93.0753377771132</v>
      </c>
      <c r="J406" s="2">
        <v>38.6246715819163</v>
      </c>
      <c r="K406" s="2">
        <v>0.417909282328459</v>
      </c>
    </row>
    <row r="407">
      <c r="A407" s="2">
        <v>405.0</v>
      </c>
      <c r="B407" s="2">
        <v>405.0</v>
      </c>
      <c r="C407" s="2">
        <v>47.3211767822176</v>
      </c>
      <c r="D407" s="2">
        <v>100.651202242282</v>
      </c>
      <c r="E407" s="2">
        <v>143.946998289273</v>
      </c>
      <c r="F407" s="2">
        <v>166.423325624783</v>
      </c>
      <c r="G407" s="2">
        <v>164.240879332797</v>
      </c>
      <c r="H407" s="2">
        <v>137.940643146796</v>
      </c>
      <c r="I407" s="2">
        <v>92.3633348766364</v>
      </c>
      <c r="J407" s="2">
        <v>37.8683336710127</v>
      </c>
      <c r="K407" s="2">
        <v>0.315401559434809</v>
      </c>
    </row>
    <row r="408">
      <c r="A408" s="2">
        <v>406.0</v>
      </c>
      <c r="B408" s="2">
        <v>406.0</v>
      </c>
      <c r="C408" s="2">
        <v>48.720737310608</v>
      </c>
      <c r="D408" s="2">
        <v>101.822347258707</v>
      </c>
      <c r="E408" s="2">
        <v>144.81924604422</v>
      </c>
      <c r="F408" s="2">
        <v>166.886661609808</v>
      </c>
      <c r="G408" s="2">
        <v>164.250269797075</v>
      </c>
      <c r="H408" s="2">
        <v>137.528030558397</v>
      </c>
      <c r="I408" s="2">
        <v>91.6510775148111</v>
      </c>
      <c r="J408" s="2">
        <v>37.118448045802</v>
      </c>
      <c r="K408" s="2">
        <v>0.229116779034177</v>
      </c>
    </row>
    <row r="409">
      <c r="A409" s="2">
        <v>407.0</v>
      </c>
      <c r="B409" s="2">
        <v>407.0</v>
      </c>
      <c r="C409" s="2">
        <v>50.1393007928871</v>
      </c>
      <c r="D409" s="2">
        <v>102.993386376677</v>
      </c>
      <c r="E409" s="2">
        <v>145.686422269707</v>
      </c>
      <c r="F409" s="2">
        <v>167.343103134206</v>
      </c>
      <c r="G409" s="2">
        <v>164.253132740568</v>
      </c>
      <c r="H409" s="2">
        <v>137.111170544288</v>
      </c>
      <c r="I409" s="2">
        <v>90.9387090346578</v>
      </c>
      <c r="J409" s="2">
        <v>36.3751505538322</v>
      </c>
      <c r="K409" s="2">
        <v>0.158349806985943</v>
      </c>
    </row>
    <row r="410">
      <c r="A410" s="2">
        <v>408.0</v>
      </c>
      <c r="B410" s="2">
        <v>408.0</v>
      </c>
      <c r="C410" s="2">
        <v>51.5769674890939</v>
      </c>
      <c r="D410" s="2">
        <v>104.164087060151</v>
      </c>
      <c r="E410" s="2">
        <v>146.548381364753</v>
      </c>
      <c r="F410" s="2">
        <v>167.792595498534</v>
      </c>
      <c r="G410" s="2">
        <v>164.249500308355</v>
      </c>
      <c r="H410" s="2">
        <v>136.690166205155</v>
      </c>
      <c r="I410" s="2">
        <v>90.2263732488172</v>
      </c>
      <c r="J410" s="2">
        <v>35.6385744896442</v>
      </c>
      <c r="K410" s="2">
        <v>0.102278626567952</v>
      </c>
    </row>
    <row r="411">
      <c r="A411" s="2">
        <v>409.0</v>
      </c>
      <c r="B411" s="2">
        <v>409.0</v>
      </c>
      <c r="C411" s="2">
        <v>53.0339088780873</v>
      </c>
      <c r="D411" s="2">
        <v>105.334215540979</v>
      </c>
      <c r="E411" s="2">
        <v>147.404978722086</v>
      </c>
      <c r="F411" s="2">
        <v>168.235086122641</v>
      </c>
      <c r="G411" s="2">
        <v>164.239407022402</v>
      </c>
      <c r="H411" s="2">
        <v>136.265122425491</v>
      </c>
      <c r="I411" s="2">
        <v>89.5142142046064</v>
      </c>
      <c r="J411" s="2">
        <v>34.9088503222587</v>
      </c>
      <c r="K411" s="2">
        <v>0.0599366782044126</v>
      </c>
    </row>
    <row r="412">
      <c r="A412" s="2">
        <v>410.0</v>
      </c>
      <c r="B412" s="2">
        <v>410.0</v>
      </c>
      <c r="C412" s="2">
        <v>54.5103977849117</v>
      </c>
      <c r="D412" s="2">
        <v>106.50353710375</v>
      </c>
      <c r="E412" s="2">
        <v>148.256070900622</v>
      </c>
      <c r="F412" s="2">
        <v>168.670524583396</v>
      </c>
      <c r="G412" s="2">
        <v>164.222889686075</v>
      </c>
      <c r="H412" s="2">
        <v>135.836145667591</v>
      </c>
      <c r="I412" s="2">
        <v>88.8023759104702</v>
      </c>
      <c r="J412" s="2">
        <v>34.1861054163387</v>
      </c>
      <c r="K412" s="2">
        <v>0.0301715204618091</v>
      </c>
    </row>
    <row r="413">
      <c r="A413" s="2">
        <v>411.0</v>
      </c>
      <c r="B413" s="2">
        <v>411.0</v>
      </c>
      <c r="C413" s="2">
        <v>56.0068603355683</v>
      </c>
      <c r="D413" s="2">
        <v>107.671816218972</v>
      </c>
      <c r="E413" s="2">
        <v>149.101515765387</v>
      </c>
      <c r="F413" s="2">
        <v>169.098862740375</v>
      </c>
      <c r="G413" s="2">
        <v>164.199987478997</v>
      </c>
      <c r="H413" s="2">
        <v>135.403344022945</v>
      </c>
      <c r="I413" s="2">
        <v>88.0910023364064</v>
      </c>
      <c r="J413" s="2">
        <v>33.4704639734545</v>
      </c>
      <c r="K413" s="2">
        <v>0.0115769769713978</v>
      </c>
    </row>
    <row r="414">
      <c r="A414" s="2">
        <v>412.0</v>
      </c>
      <c r="B414" s="2">
        <v>412.0</v>
      </c>
      <c r="C414" s="2">
        <v>57.5239803461102</v>
      </c>
      <c r="D414" s="2">
        <v>108.838815445384</v>
      </c>
      <c r="E414" s="2">
        <v>149.941171669999</v>
      </c>
      <c r="F414" s="2">
        <v>169.520054285778</v>
      </c>
      <c r="G414" s="2">
        <v>164.170741913401</v>
      </c>
      <c r="H414" s="2">
        <v>134.966827544972</v>
      </c>
      <c r="I414" s="2">
        <v>87.3802380063736</v>
      </c>
      <c r="J414" s="2">
        <v>32.7620476170936</v>
      </c>
      <c r="K414" s="2">
        <v>0.00236318167492326</v>
      </c>
    </row>
    <row r="415">
      <c r="A415" s="2">
        <v>413.0</v>
      </c>
      <c r="B415" s="2">
        <v>413.0</v>
      </c>
      <c r="C415" s="2">
        <v>59.0630074632387</v>
      </c>
      <c r="D415" s="2">
        <v>110.004297947462</v>
      </c>
      <c r="E415" s="2">
        <v>150.774899227631</v>
      </c>
      <c r="F415" s="2">
        <v>169.934055573943</v>
      </c>
      <c r="G415" s="2">
        <v>164.135196665504</v>
      </c>
      <c r="H415" s="2">
        <v>134.526707191008</v>
      </c>
      <c r="I415" s="2">
        <v>86.6702263520925</v>
      </c>
      <c r="J415" s="2">
        <v>32.060973753555</v>
      </c>
      <c r="K415" s="220">
        <v>8.47721212868041E-6</v>
      </c>
    </row>
    <row r="416">
      <c r="A416" s="2">
        <v>414.0</v>
      </c>
      <c r="B416" s="2">
        <v>414.0</v>
      </c>
      <c r="C416" s="2">
        <v>60.6268924116528</v>
      </c>
      <c r="D416" s="2">
        <v>111.168024341016</v>
      </c>
      <c r="E416" s="2">
        <v>151.602559142258</v>
      </c>
      <c r="F416" s="2">
        <v>170.340824661407</v>
      </c>
      <c r="G416" s="2">
        <v>164.093397880252</v>
      </c>
      <c r="H416" s="2">
        <v>134.083096235835</v>
      </c>
      <c r="I416" s="2">
        <v>85.9611118293719</v>
      </c>
      <c r="J416" s="2">
        <v>31.367357577549</v>
      </c>
      <c r="K416" s="2">
        <v>0.0</v>
      </c>
    </row>
    <row r="417">
      <c r="A417" s="2">
        <v>415.0</v>
      </c>
      <c r="B417" s="2">
        <v>415.0</v>
      </c>
      <c r="C417" s="2">
        <v>62.2160891789217</v>
      </c>
      <c r="D417" s="2">
        <v>112.329755669493</v>
      </c>
      <c r="E417" s="2">
        <v>152.424014224808</v>
      </c>
      <c r="F417" s="2">
        <v>170.740322153043</v>
      </c>
      <c r="G417" s="2">
        <v>164.045393806107</v>
      </c>
      <c r="H417" s="2">
        <v>133.636108854109</v>
      </c>
      <c r="I417" s="2">
        <v>85.2530378378312</v>
      </c>
      <c r="J417" s="2">
        <v>30.6813100733432</v>
      </c>
      <c r="K417" s="2">
        <v>0.0</v>
      </c>
    </row>
    <row r="418">
      <c r="A418" s="2">
        <v>416.0</v>
      </c>
      <c r="B418" s="2">
        <v>416.0</v>
      </c>
      <c r="C418" s="2">
        <v>63.828730547869</v>
      </c>
      <c r="D418" s="2">
        <v>113.489251849499</v>
      </c>
      <c r="E418" s="2">
        <v>153.239128323552</v>
      </c>
      <c r="F418" s="2">
        <v>171.132510724258</v>
      </c>
      <c r="G418" s="2">
        <v>163.991234937063</v>
      </c>
      <c r="H418" s="2">
        <v>133.185860806017</v>
      </c>
      <c r="I418" s="2">
        <v>84.5461477493173</v>
      </c>
      <c r="J418" s="2">
        <v>30.0029389756396</v>
      </c>
      <c r="K418" s="2">
        <v>0.0</v>
      </c>
    </row>
    <row r="419">
      <c r="A419" s="2">
        <v>417.0</v>
      </c>
      <c r="B419" s="2">
        <v>417.0</v>
      </c>
      <c r="C419" s="2">
        <v>65.4630190208973</v>
      </c>
      <c r="D419" s="2">
        <v>114.646271765497</v>
      </c>
      <c r="E419" s="2">
        <v>154.047766420712</v>
      </c>
      <c r="F419" s="2">
        <v>171.517355199938</v>
      </c>
      <c r="G419" s="2">
        <v>163.930974062793</v>
      </c>
      <c r="H419" s="2">
        <v>132.732469451518</v>
      </c>
      <c r="I419" s="2">
        <v>83.8405848823925</v>
      </c>
      <c r="J419" s="2">
        <v>29.3323486941174</v>
      </c>
      <c r="K419" s="2">
        <v>0.0</v>
      </c>
    </row>
    <row r="420">
      <c r="A420" s="2">
        <v>418.0</v>
      </c>
      <c r="B420" s="2">
        <v>418.0</v>
      </c>
      <c r="C420" s="2">
        <v>67.1172315173125</v>
      </c>
      <c r="D420" s="2">
        <v>115.800574375041</v>
      </c>
      <c r="E420" s="2">
        <v>154.849795343966</v>
      </c>
      <c r="F420" s="2">
        <v>171.894822807824</v>
      </c>
      <c r="G420" s="2">
        <v>163.864666063513</v>
      </c>
      <c r="H420" s="2">
        <v>132.27605316066</v>
      </c>
      <c r="I420" s="2">
        <v>83.1364916863274</v>
      </c>
      <c r="J420" s="2">
        <v>28.6696395546083</v>
      </c>
      <c r="K420" s="2">
        <v>0.0</v>
      </c>
    </row>
    <row r="421">
      <c r="A421" s="2">
        <v>419.0</v>
      </c>
      <c r="B421" s="2">
        <v>419.0</v>
      </c>
      <c r="C421" s="2">
        <v>68.7897116984965</v>
      </c>
      <c r="D421" s="2">
        <v>116.951916856994</v>
      </c>
      <c r="E421" s="2">
        <v>155.645082524021</v>
      </c>
      <c r="F421" s="2">
        <v>172.26488265009</v>
      </c>
      <c r="G421" s="2">
        <v>163.792368114394</v>
      </c>
      <c r="H421" s="2">
        <v>131.81673214827</v>
      </c>
      <c r="I421" s="2">
        <v>82.4340109560825</v>
      </c>
      <c r="J421" s="2">
        <v>28.0149088919788</v>
      </c>
      <c r="K421" s="2">
        <v>0.0</v>
      </c>
    </row>
    <row r="422">
      <c r="A422" s="2">
        <v>420.0</v>
      </c>
      <c r="B422" s="2">
        <v>420.0</v>
      </c>
      <c r="C422" s="2">
        <v>70.4788695415459</v>
      </c>
      <c r="D422" s="2">
        <v>118.100057410169</v>
      </c>
      <c r="E422" s="2">
        <v>156.433497862492</v>
      </c>
      <c r="F422" s="2">
        <v>172.627506478254</v>
      </c>
      <c r="G422" s="2">
        <v>163.714139346811</v>
      </c>
      <c r="H422" s="2">
        <v>131.354627182359</v>
      </c>
      <c r="I422" s="2">
        <v>81.7332839636005</v>
      </c>
      <c r="J422" s="2">
        <v>27.3682493226656</v>
      </c>
      <c r="K422" s="2">
        <v>0.0</v>
      </c>
    </row>
    <row r="423">
      <c r="A423" s="2">
        <v>421.0</v>
      </c>
      <c r="B423" s="2">
        <v>421.0</v>
      </c>
      <c r="C423" s="2">
        <v>72.1831727847564</v>
      </c>
      <c r="D423" s="2">
        <v>119.244752301905</v>
      </c>
      <c r="E423" s="2">
        <v>157.214911767488</v>
      </c>
      <c r="F423" s="2">
        <v>172.982667874832</v>
      </c>
      <c r="G423" s="2">
        <v>163.630041198634</v>
      </c>
      <c r="H423" s="2">
        <v>130.889860933362</v>
      </c>
      <c r="I423" s="2">
        <v>81.0344524033193</v>
      </c>
      <c r="J423" s="2">
        <v>26.7297504885818</v>
      </c>
      <c r="K423" s="2">
        <v>0.0</v>
      </c>
    </row>
    <row r="424">
      <c r="A424" s="2">
        <v>422.0</v>
      </c>
      <c r="B424" s="2">
        <v>422.0</v>
      </c>
      <c r="C424" s="2">
        <v>73.9011468674552</v>
      </c>
      <c r="D424" s="2">
        <v>120.38575835854</v>
      </c>
      <c r="E424" s="2">
        <v>157.989196776552</v>
      </c>
      <c r="F424" s="2">
        <v>173.330342877441</v>
      </c>
      <c r="G424" s="2">
        <v>163.540137035442</v>
      </c>
      <c r="H424" s="2">
        <v>130.422556751224</v>
      </c>
      <c r="I424" s="2">
        <v>80.3376566758164</v>
      </c>
      <c r="J424" s="2">
        <v>26.0994975046028</v>
      </c>
      <c r="K424" s="2">
        <v>0.0</v>
      </c>
    </row>
    <row r="425">
      <c r="A425" s="2">
        <v>423.0</v>
      </c>
      <c r="B425" s="2">
        <v>423.0</v>
      </c>
      <c r="C425" s="2">
        <v>75.6313699050166</v>
      </c>
      <c r="D425" s="2">
        <v>121.522831976041</v>
      </c>
      <c r="E425" s="2">
        <v>158.75622692572</v>
      </c>
      <c r="F425" s="2">
        <v>173.670509751948</v>
      </c>
      <c r="G425" s="2">
        <v>163.444492328286</v>
      </c>
      <c r="H425" s="2">
        <v>129.952839181166</v>
      </c>
      <c r="I425" s="2">
        <v>79.6430365937772</v>
      </c>
      <c r="J425" s="2">
        <v>25.4775715635022</v>
      </c>
      <c r="K425" s="2">
        <v>0.0</v>
      </c>
    </row>
    <row r="426">
      <c r="A426" s="2">
        <v>424.0</v>
      </c>
      <c r="B426" s="2">
        <v>424.0</v>
      </c>
      <c r="C426" s="2">
        <v>77.4839408828865</v>
      </c>
      <c r="D426" s="2">
        <v>122.727893733068</v>
      </c>
      <c r="E426" s="2">
        <v>159.564112311961</v>
      </c>
      <c r="F426" s="2">
        <v>174.024125051994</v>
      </c>
      <c r="G426" s="2">
        <v>163.33651648555</v>
      </c>
      <c r="H426" s="2">
        <v>129.450631314642</v>
      </c>
      <c r="I426" s="2">
        <v>78.9066236843684</v>
      </c>
      <c r="J426" s="2">
        <v>24.8251762085457</v>
      </c>
      <c r="K426" s="2">
        <v>0.0</v>
      </c>
    </row>
    <row r="427">
      <c r="A427" s="2">
        <v>425.0</v>
      </c>
      <c r="B427" s="2">
        <v>425.0</v>
      </c>
      <c r="C427" s="2">
        <v>79.3472267420513</v>
      </c>
      <c r="D427" s="2">
        <v>123.927934252596</v>
      </c>
      <c r="E427" s="2">
        <v>160.363498016246</v>
      </c>
      <c r="F427" s="2">
        <v>174.369200073931</v>
      </c>
      <c r="G427" s="2">
        <v>163.222204059272</v>
      </c>
      <c r="H427" s="2">
        <v>128.945987089031</v>
      </c>
      <c r="I427" s="2">
        <v>78.172997310939</v>
      </c>
      <c r="J427" s="2">
        <v>24.1823802303756</v>
      </c>
      <c r="K427" s="2">
        <v>0.0</v>
      </c>
    </row>
    <row r="428">
      <c r="A428" s="2">
        <v>426.0</v>
      </c>
      <c r="B428" s="2">
        <v>426.0</v>
      </c>
      <c r="C428" s="2">
        <v>81.2196894426158</v>
      </c>
      <c r="D428" s="2">
        <v>125.122659155375</v>
      </c>
      <c r="E428" s="2">
        <v>161.154238151303</v>
      </c>
      <c r="F428" s="2">
        <v>174.705716782919</v>
      </c>
      <c r="G428" s="2">
        <v>163.101641256468</v>
      </c>
      <c r="H428" s="2">
        <v>128.43906025404</v>
      </c>
      <c r="I428" s="2">
        <v>77.4423228982381</v>
      </c>
      <c r="J428" s="2">
        <v>23.5492660748032</v>
      </c>
      <c r="K428" s="2">
        <v>0.0</v>
      </c>
    </row>
    <row r="429">
      <c r="A429" s="2">
        <v>427.0</v>
      </c>
      <c r="B429" s="2">
        <v>427.0</v>
      </c>
      <c r="C429" s="2">
        <v>83.0998438491726</v>
      </c>
      <c r="D429" s="2">
        <v>126.31177383484</v>
      </c>
      <c r="E429" s="2">
        <v>161.936188899161</v>
      </c>
      <c r="F429" s="2">
        <v>175.033659952832</v>
      </c>
      <c r="G429" s="2">
        <v>162.974916772538</v>
      </c>
      <c r="H429" s="2">
        <v>127.930005772563</v>
      </c>
      <c r="I429" s="2">
        <v>76.7147647564367</v>
      </c>
      <c r="J429" s="2">
        <v>22.9259107912151</v>
      </c>
      <c r="K429" s="2">
        <v>0.0</v>
      </c>
    </row>
    <row r="430">
      <c r="A430" s="2">
        <v>428.0</v>
      </c>
      <c r="B430" s="2">
        <v>428.0</v>
      </c>
      <c r="C430" s="2">
        <v>84.9862551320089</v>
      </c>
      <c r="D430" s="2">
        <v>127.494983782691</v>
      </c>
      <c r="E430" s="2">
        <v>162.709208688891</v>
      </c>
      <c r="F430" s="2">
        <v>175.353017187183</v>
      </c>
      <c r="G430" s="2">
        <v>162.842121670957</v>
      </c>
      <c r="H430" s="2">
        <v>127.418979596086</v>
      </c>
      <c r="I430" s="2">
        <v>75.9904858116679</v>
      </c>
      <c r="J430" s="2">
        <v>22.312385804109</v>
      </c>
      <c r="K430" s="2">
        <v>0.0</v>
      </c>
    </row>
    <row r="431">
      <c r="A431" s="2">
        <v>429.0</v>
      </c>
      <c r="B431" s="2">
        <v>429.0</v>
      </c>
      <c r="C431" s="2">
        <v>86.8775355595895</v>
      </c>
      <c r="D431" s="2">
        <v>128.67199441621</v>
      </c>
      <c r="E431" s="2">
        <v>163.473158094252</v>
      </c>
      <c r="F431" s="2">
        <v>175.663778887957</v>
      </c>
      <c r="G431" s="2">
        <v>162.703349424512</v>
      </c>
      <c r="H431" s="2">
        <v>126.906138766699</v>
      </c>
      <c r="I431" s="2">
        <v>75.26964773961</v>
      </c>
      <c r="J431" s="2">
        <v>21.708757007812</v>
      </c>
      <c r="K431" s="2">
        <v>0.0</v>
      </c>
    </row>
    <row r="432">
      <c r="A432" s="2">
        <v>430.0</v>
      </c>
      <c r="B432" s="2">
        <v>430.0</v>
      </c>
      <c r="C432" s="2">
        <v>88.7723423314886</v>
      </c>
      <c r="D432" s="2">
        <v>129.84251133168</v>
      </c>
      <c r="E432" s="2">
        <v>164.227899916188</v>
      </c>
      <c r="F432" s="2">
        <v>175.965938173283</v>
      </c>
      <c r="G432" s="2">
        <v>162.558695699913</v>
      </c>
      <c r="H432" s="2">
        <v>126.391641120264</v>
      </c>
      <c r="I432" s="2">
        <v>74.5524106575459</v>
      </c>
      <c r="J432" s="2">
        <v>21.1150845384363</v>
      </c>
      <c r="K432" s="2">
        <v>0.0</v>
      </c>
    </row>
    <row r="433">
      <c r="A433" s="2">
        <v>431.0</v>
      </c>
      <c r="B433" s="2">
        <v>431.0</v>
      </c>
      <c r="C433" s="2">
        <v>90.6693743956411</v>
      </c>
      <c r="D433" s="2">
        <v>131.006239956957</v>
      </c>
      <c r="E433" s="2">
        <v>164.973299043253</v>
      </c>
      <c r="F433" s="2">
        <v>176.259490933642</v>
      </c>
      <c r="G433" s="2">
        <v>162.408258586164</v>
      </c>
      <c r="H433" s="2">
        <v>125.875645634974</v>
      </c>
      <c r="I433" s="2">
        <v>73.8389335076823</v>
      </c>
      <c r="J433" s="2">
        <v>20.5314230391958</v>
      </c>
      <c r="K433" s="2">
        <v>0.0</v>
      </c>
    </row>
    <row r="434">
      <c r="A434" s="2">
        <v>432.0</v>
      </c>
      <c r="B434" s="2">
        <v>432.0</v>
      </c>
      <c r="C434" s="2">
        <v>92.5673720466597</v>
      </c>
      <c r="D434" s="2">
        <v>132.162886605012</v>
      </c>
      <c r="E434" s="2">
        <v>165.709223000349</v>
      </c>
      <c r="F434" s="2">
        <v>176.544435871047</v>
      </c>
      <c r="G434" s="2">
        <v>162.252138177066</v>
      </c>
      <c r="H434" s="2">
        <v>125.358311681177</v>
      </c>
      <c r="I434" s="2">
        <v>73.1293731804022</v>
      </c>
      <c r="J434" s="2">
        <v>19.9578209974989</v>
      </c>
      <c r="K434" s="2">
        <v>0.0</v>
      </c>
    </row>
    <row r="435">
      <c r="A435" s="2">
        <v>433.0</v>
      </c>
      <c r="B435" s="2">
        <v>433.0</v>
      </c>
      <c r="C435" s="2">
        <v>94.4651131223792</v>
      </c>
      <c r="D435" s="2">
        <v>133.312157496541</v>
      </c>
      <c r="E435" s="2">
        <v>166.435541370974</v>
      </c>
      <c r="F435" s="2">
        <v>176.820774336277</v>
      </c>
      <c r="G435" s="2">
        <v>162.090436807503</v>
      </c>
      <c r="H435" s="2">
        <v>124.839799576227</v>
      </c>
      <c r="I435" s="2">
        <v>72.4238852265928</v>
      </c>
      <c r="J435" s="2">
        <v>19.394321303852</v>
      </c>
      <c r="K435" s="2">
        <v>0.0</v>
      </c>
    </row>
    <row r="436">
      <c r="A436" s="2">
        <v>434.0</v>
      </c>
      <c r="B436" s="2">
        <v>434.0</v>
      </c>
      <c r="C436" s="2">
        <v>96.3614125208009</v>
      </c>
      <c r="D436" s="2">
        <v>134.453759606848</v>
      </c>
      <c r="E436" s="2">
        <v>167.152126259946</v>
      </c>
      <c r="F436" s="2">
        <v>177.088510400752</v>
      </c>
      <c r="G436" s="2">
        <v>161.923258772325</v>
      </c>
      <c r="H436" s="2">
        <v>124.320270042849</v>
      </c>
      <c r="I436" s="2">
        <v>71.722623212544</v>
      </c>
      <c r="J436" s="2">
        <v>18.8409607671601</v>
      </c>
      <c r="K436" s="2">
        <v>0.0</v>
      </c>
    </row>
    <row r="437">
      <c r="A437" s="2">
        <v>435.0</v>
      </c>
      <c r="B437" s="2">
        <v>435.0</v>
      </c>
      <c r="C437" s="2">
        <v>98.2551186584773</v>
      </c>
      <c r="D437" s="2">
        <v>135.587399697431</v>
      </c>
      <c r="E437" s="2">
        <v>167.858851741171</v>
      </c>
      <c r="F437" s="2">
        <v>177.347650725562</v>
      </c>
      <c r="G437" s="2">
        <v>161.750710593409</v>
      </c>
      <c r="H437" s="2">
        <v>123.799884787216</v>
      </c>
      <c r="I437" s="2">
        <v>71.0257394420314</v>
      </c>
      <c r="J437" s="2">
        <v>18.2977706642149</v>
      </c>
      <c r="K437" s="2">
        <v>0.0</v>
      </c>
    </row>
    <row r="438">
      <c r="A438" s="2">
        <v>436.0</v>
      </c>
      <c r="B438" s="2">
        <v>436.0</v>
      </c>
      <c r="C438" s="2">
        <v>100.14511518279</v>
      </c>
      <c r="D438" s="2">
        <v>136.712786276215</v>
      </c>
      <c r="E438" s="2">
        <v>168.555594974345</v>
      </c>
      <c r="F438" s="2">
        <v>177.598204821506</v>
      </c>
      <c r="G438" s="2">
        <v>161.572900491059</v>
      </c>
      <c r="H438" s="2">
        <v>123.27880537252</v>
      </c>
      <c r="I438" s="2">
        <v>70.3333835747673</v>
      </c>
      <c r="J438" s="2">
        <v>17.7647757141914</v>
      </c>
      <c r="K438" s="2">
        <v>0.0</v>
      </c>
    </row>
    <row r="439">
      <c r="A439" s="2">
        <v>437.0</v>
      </c>
      <c r="B439" s="2">
        <v>437.0</v>
      </c>
      <c r="C439" s="2">
        <v>102.030316152001</v>
      </c>
      <c r="D439" s="2">
        <v>137.82962766789</v>
      </c>
      <c r="E439" s="2">
        <v>169.242234997608</v>
      </c>
      <c r="F439" s="2">
        <v>177.840184600935</v>
      </c>
      <c r="G439" s="2">
        <v>161.389938677026</v>
      </c>
      <c r="H439" s="2">
        <v>122.757194117211</v>
      </c>
      <c r="I439" s="2">
        <v>69.645703841934</v>
      </c>
      <c r="J439" s="2">
        <v>17.2419950445017</v>
      </c>
      <c r="K439" s="2">
        <v>0.0</v>
      </c>
    </row>
    <row r="440">
      <c r="A440" s="2">
        <v>438.0</v>
      </c>
      <c r="B440" s="2">
        <v>438.0</v>
      </c>
      <c r="C440" s="2">
        <v>103.909667154239</v>
      </c>
      <c r="D440" s="2">
        <v>138.937633582831</v>
      </c>
      <c r="E440" s="2">
        <v>169.918653707665</v>
      </c>
      <c r="F440" s="2">
        <v>178.073604741094</v>
      </c>
      <c r="G440" s="2">
        <v>161.201937130364</v>
      </c>
      <c r="H440" s="2">
        <v>122.235213403901</v>
      </c>
      <c r="I440" s="2">
        <v>68.9628461265984</v>
      </c>
      <c r="J440" s="2">
        <v>16.7294414934945</v>
      </c>
      <c r="K440" s="2">
        <v>0.0</v>
      </c>
    </row>
    <row r="441">
      <c r="A441" s="2">
        <v>439.0</v>
      </c>
      <c r="B441" s="2">
        <v>439.0</v>
      </c>
      <c r="C441" s="2">
        <v>105.782141562733</v>
      </c>
      <c r="D441" s="2">
        <v>140.03651368287</v>
      </c>
      <c r="E441" s="2">
        <v>170.58473492578</v>
      </c>
      <c r="F441" s="2">
        <v>178.298482280872</v>
      </c>
      <c r="G441" s="2">
        <v>161.009009724218</v>
      </c>
      <c r="H441" s="2">
        <v>121.713026251189</v>
      </c>
      <c r="I441" s="2">
        <v>68.2849547838354</v>
      </c>
      <c r="J441" s="2">
        <v>16.2271222743868</v>
      </c>
      <c r="K441" s="2">
        <v>0.0</v>
      </c>
    </row>
    <row r="442">
      <c r="A442" s="2">
        <v>440.0</v>
      </c>
      <c r="B442" s="2">
        <v>440.0</v>
      </c>
      <c r="C442" s="2">
        <v>107.646742804447</v>
      </c>
      <c r="D442" s="2">
        <v>141.125979651594</v>
      </c>
      <c r="E442" s="2">
        <v>171.240365614993</v>
      </c>
      <c r="F442" s="2">
        <v>178.514836976968</v>
      </c>
      <c r="G442" s="2">
        <v>160.811271784939</v>
      </c>
      <c r="H442" s="2">
        <v>121.190795262949</v>
      </c>
      <c r="I442" s="2">
        <v>67.6121713262763</v>
      </c>
      <c r="J442" s="2">
        <v>15.7350380363965</v>
      </c>
      <c r="K442" s="2">
        <v>0.0</v>
      </c>
    </row>
    <row r="443">
      <c r="A443" s="2">
        <v>441.0</v>
      </c>
      <c r="B443" s="2">
        <v>441.0</v>
      </c>
      <c r="C443" s="2">
        <v>109.502500371363</v>
      </c>
      <c r="D443" s="2">
        <v>142.20574358711</v>
      </c>
      <c r="E443" s="2">
        <v>171.885434916157</v>
      </c>
      <c r="F443" s="2">
        <v>178.722690996013</v>
      </c>
      <c r="G443" s="2">
        <v>160.608840411783</v>
      </c>
      <c r="H443" s="2">
        <v>120.668683447961</v>
      </c>
      <c r="I443" s="2">
        <v>66.9446354886862</v>
      </c>
      <c r="J443" s="2">
        <v>15.2531836854248</v>
      </c>
      <c r="K443" s="2">
        <v>0.0</v>
      </c>
    </row>
    <row r="444">
      <c r="A444" s="2">
        <v>442.0</v>
      </c>
      <c r="B444" s="2">
        <v>442.0</v>
      </c>
      <c r="C444" s="2">
        <v>111.348470205195</v>
      </c>
      <c r="D444" s="2">
        <v>143.275518817312</v>
      </c>
      <c r="E444" s="2">
        <v>172.519834540475</v>
      </c>
      <c r="F444" s="2">
        <v>178.922068905629</v>
      </c>
      <c r="G444" s="2">
        <v>160.401834125888</v>
      </c>
      <c r="H444" s="2">
        <v>120.146853638084</v>
      </c>
      <c r="I444" s="2">
        <v>66.2824845907393</v>
      </c>
      <c r="J444" s="2">
        <v>14.7815479876214</v>
      </c>
      <c r="K444" s="2">
        <v>0.0</v>
      </c>
    </row>
    <row r="445">
      <c r="A445" s="2">
        <v>443.0</v>
      </c>
      <c r="B445" s="2">
        <v>443.0</v>
      </c>
      <c r="C445" s="2">
        <v>113.183733368457</v>
      </c>
      <c r="D445" s="2">
        <v>144.335019811557</v>
      </c>
      <c r="E445" s="2">
        <v>173.143458770189</v>
      </c>
      <c r="F445" s="2">
        <v>179.112997753349</v>
      </c>
      <c r="G445" s="2">
        <v>160.190373017026</v>
      </c>
      <c r="H445" s="2">
        <v>119.6254686809</v>
      </c>
      <c r="I445" s="2">
        <v>65.6258537426622</v>
      </c>
      <c r="J445" s="2">
        <v>14.320113739634</v>
      </c>
      <c r="K445" s="2">
        <v>0.0</v>
      </c>
    </row>
    <row r="446">
      <c r="A446" s="2">
        <v>444.0</v>
      </c>
      <c r="B446" s="2">
        <v>444.0</v>
      </c>
      <c r="C446" s="2">
        <v>115.007396093469</v>
      </c>
      <c r="D446" s="2">
        <v>145.383962716705</v>
      </c>
      <c r="E446" s="2">
        <v>173.756204675203</v>
      </c>
      <c r="F446" s="2">
        <v>179.295506994888</v>
      </c>
      <c r="G446" s="2">
        <v>159.974578440992</v>
      </c>
      <c r="H446" s="2">
        <v>119.104690997822</v>
      </c>
      <c r="I446" s="2">
        <v>64.9748753984591</v>
      </c>
      <c r="J446" s="2">
        <v>13.8688575379893</v>
      </c>
      <c r="K446" s="2">
        <v>0.0</v>
      </c>
    </row>
    <row r="447">
      <c r="A447" s="2">
        <v>445.0</v>
      </c>
      <c r="B447" s="2">
        <v>445.0</v>
      </c>
      <c r="C447" s="2">
        <v>116.818587474616</v>
      </c>
      <c r="D447" s="2">
        <v>146.422064571781</v>
      </c>
      <c r="E447" s="2">
        <v>174.357971631951</v>
      </c>
      <c r="F447" s="2">
        <v>179.469628323693</v>
      </c>
      <c r="G447" s="2">
        <v>159.754573153424</v>
      </c>
      <c r="H447" s="2">
        <v>118.584682967521</v>
      </c>
      <c r="I447" s="2">
        <v>64.3296798720358</v>
      </c>
      <c r="J447" s="2">
        <v>13.4277502005989</v>
      </c>
      <c r="K447" s="2">
        <v>0.0</v>
      </c>
    </row>
    <row r="448">
      <c r="A448" s="2">
        <v>446.0</v>
      </c>
      <c r="B448" s="2">
        <v>446.0</v>
      </c>
      <c r="C448" s="2">
        <v>118.616459699311</v>
      </c>
      <c r="D448" s="2">
        <v>147.449043940403</v>
      </c>
      <c r="E448" s="2">
        <v>174.948661656799</v>
      </c>
      <c r="F448" s="2">
        <v>179.635395721778</v>
      </c>
      <c r="G448" s="2">
        <v>159.530481119051</v>
      </c>
      <c r="H448" s="2">
        <v>118.065606570586</v>
      </c>
      <c r="I448" s="2">
        <v>63.6903949428451</v>
      </c>
      <c r="J448" s="2">
        <v>12.9967565600685</v>
      </c>
      <c r="K448" s="2">
        <v>0.0</v>
      </c>
    </row>
    <row r="449">
      <c r="A449" s="2">
        <v>447.0</v>
      </c>
      <c r="B449" s="2">
        <v>447.0</v>
      </c>
      <c r="C449" s="2">
        <v>120.400188384043</v>
      </c>
      <c r="D449" s="2">
        <v>148.464621591658</v>
      </c>
      <c r="E449" s="2">
        <v>175.528179782674</v>
      </c>
      <c r="F449" s="2">
        <v>179.792845550855</v>
      </c>
      <c r="G449" s="2">
        <v>159.302427356406</v>
      </c>
      <c r="H449" s="2">
        <v>117.547623063296</v>
      </c>
      <c r="I449" s="2">
        <v>63.0571454859603</v>
      </c>
      <c r="J449" s="2">
        <v>12.5758352889195</v>
      </c>
      <c r="K449" s="2">
        <v>0.0</v>
      </c>
    </row>
    <row r="450">
      <c r="A450" s="2">
        <v>448.0</v>
      </c>
      <c r="B450" s="2">
        <v>448.0</v>
      </c>
      <c r="C450" s="2">
        <v>122.168969332595</v>
      </c>
      <c r="D450" s="2">
        <v>149.468519068115</v>
      </c>
      <c r="E450" s="2">
        <v>176.09643317106</v>
      </c>
      <c r="F450" s="2">
        <v>179.942016215472</v>
      </c>
      <c r="G450" s="2">
        <v>159.07053813511</v>
      </c>
      <c r="H450" s="2">
        <v>117.030893608673</v>
      </c>
      <c r="I450" s="2">
        <v>62.430054325825</v>
      </c>
      <c r="J450" s="2">
        <v>12.1649395644624</v>
      </c>
      <c r="K450" s="2">
        <v>0.0</v>
      </c>
    </row>
    <row r="451">
      <c r="A451" s="2">
        <v>449.0</v>
      </c>
      <c r="B451" s="2">
        <v>449.0</v>
      </c>
      <c r="C451" s="2">
        <v>123.922020952956</v>
      </c>
      <c r="D451" s="2">
        <v>150.460460484418</v>
      </c>
      <c r="E451" s="2">
        <v>176.653332103347</v>
      </c>
      <c r="F451" s="2">
        <v>180.082948388747</v>
      </c>
      <c r="G451" s="2">
        <v>158.834940523396</v>
      </c>
      <c r="H451" s="2">
        <v>116.51557833564</v>
      </c>
      <c r="I451" s="2">
        <v>61.8092411367965</v>
      </c>
      <c r="J451" s="2">
        <v>11.7640164259579</v>
      </c>
      <c r="K451" s="2">
        <v>0.0</v>
      </c>
    </row>
    <row r="452">
      <c r="A452" s="2">
        <v>450.0</v>
      </c>
      <c r="B452" s="2">
        <v>450.0</v>
      </c>
      <c r="C452" s="2">
        <v>125.658581097715</v>
      </c>
      <c r="D452" s="2">
        <v>151.4401711104</v>
      </c>
      <c r="E452" s="2">
        <v>177.198789115505</v>
      </c>
      <c r="F452" s="2">
        <v>180.215684701699</v>
      </c>
      <c r="G452" s="2">
        <v>158.595762610999</v>
      </c>
      <c r="H452" s="2">
        <v>116.001836991254</v>
      </c>
      <c r="I452" s="2">
        <v>61.1948233109995</v>
      </c>
      <c r="J452" s="2">
        <v>11.3730074487454</v>
      </c>
      <c r="K452" s="2">
        <v>0.0</v>
      </c>
    </row>
    <row r="453">
      <c r="A453" s="2">
        <v>451.0</v>
      </c>
      <c r="B453" s="2">
        <v>451.0</v>
      </c>
      <c r="C453" s="2">
        <v>127.377908635817</v>
      </c>
      <c r="D453" s="2">
        <v>152.407378698743</v>
      </c>
      <c r="E453" s="2">
        <v>177.732719774401</v>
      </c>
      <c r="F453" s="2">
        <v>180.340269993839</v>
      </c>
      <c r="G453" s="2">
        <v>158.353133287973</v>
      </c>
      <c r="H453" s="2">
        <v>115.489828372454</v>
      </c>
      <c r="I453" s="2">
        <v>60.5869152693399</v>
      </c>
      <c r="J453" s="2">
        <v>10.9918483780074</v>
      </c>
      <c r="K453" s="2">
        <v>0.0</v>
      </c>
    </row>
    <row r="454">
      <c r="A454" s="2">
        <v>452.0</v>
      </c>
      <c r="B454" s="2">
        <v>452.0</v>
      </c>
      <c r="C454" s="2">
        <v>129.079281781082</v>
      </c>
      <c r="D454" s="2">
        <v>153.36181281307</v>
      </c>
      <c r="E454" s="2">
        <v>178.255042161226</v>
      </c>
      <c r="F454" s="2">
        <v>180.456750988653</v>
      </c>
      <c r="G454" s="2">
        <v>158.107182143878</v>
      </c>
      <c r="H454" s="2">
        <v>114.979710444542</v>
      </c>
      <c r="I454" s="2">
        <v>59.9856287462322</v>
      </c>
      <c r="J454" s="2">
        <v>10.6204694527953</v>
      </c>
      <c r="K454" s="2">
        <v>0.0</v>
      </c>
    </row>
    <row r="455">
      <c r="A455" s="2">
        <v>453.0</v>
      </c>
      <c r="B455" s="2">
        <v>453.0</v>
      </c>
      <c r="C455" s="2">
        <v>130.761997676817</v>
      </c>
      <c r="D455" s="2">
        <v>154.303204989303</v>
      </c>
      <c r="E455" s="2">
        <v>178.76567698221</v>
      </c>
      <c r="F455" s="2">
        <v>180.565176361805</v>
      </c>
      <c r="G455" s="2">
        <v>157.858039505101</v>
      </c>
      <c r="H455" s="2">
        <v>114.47164036272</v>
      </c>
      <c r="I455" s="2">
        <v>59.3910728217949</v>
      </c>
      <c r="J455" s="2">
        <v>10.2587955200072</v>
      </c>
      <c r="K455" s="2">
        <v>0.0</v>
      </c>
    </row>
    <row r="456">
      <c r="A456" s="2">
        <v>454.0</v>
      </c>
      <c r="B456" s="2">
        <v>454.0</v>
      </c>
      <c r="C456" s="2">
        <v>132.425372923304</v>
      </c>
      <c r="D456" s="2">
        <v>155.231289338473</v>
      </c>
      <c r="E456" s="2">
        <v>179.26454783302</v>
      </c>
      <c r="F456" s="2">
        <v>180.665596715535</v>
      </c>
      <c r="G456" s="2">
        <v>157.605836181017</v>
      </c>
      <c r="H456" s="2">
        <v>113.965774084565</v>
      </c>
      <c r="I456" s="2">
        <v>58.8033535440475</v>
      </c>
      <c r="J456" s="2">
        <v>9.90674593196365</v>
      </c>
      <c r="K456" s="2">
        <v>0.0</v>
      </c>
    </row>
    <row r="457">
      <c r="A457" s="2">
        <v>455.0</v>
      </c>
      <c r="B457" s="2">
        <v>455.0</v>
      </c>
      <c r="C457" s="2">
        <v>134.068742078013</v>
      </c>
      <c r="D457" s="2">
        <v>156.145801995799</v>
      </c>
      <c r="E457" s="2">
        <v>179.751580828162</v>
      </c>
      <c r="F457" s="2">
        <v>180.758064406333</v>
      </c>
      <c r="G457" s="2">
        <v>157.350703500406</v>
      </c>
      <c r="H457" s="2">
        <v>113.462266592331</v>
      </c>
      <c r="I457" s="2">
        <v>58.2225742731234</v>
      </c>
      <c r="J457" s="2">
        <v>9.56423489398567</v>
      </c>
      <c r="K457" s="2">
        <v>0.0</v>
      </c>
    </row>
    <row r="458">
      <c r="A458" s="2">
        <v>456.0</v>
      </c>
      <c r="B458" s="2">
        <v>456.0</v>
      </c>
      <c r="C458" s="2">
        <v>135.691458863657</v>
      </c>
      <c r="D458" s="2">
        <v>157.046482149822</v>
      </c>
      <c r="E458" s="2">
        <v>180.226705174148</v>
      </c>
      <c r="F458" s="2">
        <v>180.842633706377</v>
      </c>
      <c r="G458" s="2">
        <v>157.092773118201</v>
      </c>
      <c r="H458" s="2">
        <v>112.96127145395</v>
      </c>
      <c r="I458" s="2">
        <v>57.6488351854453</v>
      </c>
      <c r="J458" s="2">
        <v>9.23117129010775</v>
      </c>
      <c r="K458" s="2">
        <v>0.0</v>
      </c>
    </row>
    <row r="459">
      <c r="A459" s="2">
        <v>457.0</v>
      </c>
      <c r="B459" s="2">
        <v>457.0</v>
      </c>
      <c r="C459" s="2">
        <v>137.292893592124</v>
      </c>
      <c r="D459" s="2">
        <v>157.933070813166</v>
      </c>
      <c r="E459" s="2">
        <v>180.689852371144</v>
      </c>
      <c r="F459" s="2">
        <v>180.919360449711</v>
      </c>
      <c r="G459" s="2">
        <v>156.832177104071</v>
      </c>
      <c r="H459" s="2">
        <v>112.462941283243</v>
      </c>
      <c r="I459" s="2">
        <v>57.0822339429102</v>
      </c>
      <c r="J459" s="2">
        <v>8.90745924545061</v>
      </c>
      <c r="K459" s="2">
        <v>0.0</v>
      </c>
    </row>
    <row r="460">
      <c r="A460" s="2">
        <v>458.0</v>
      </c>
      <c r="B460" s="2">
        <v>458.0</v>
      </c>
      <c r="C460" s="2">
        <v>138.872434877773</v>
      </c>
      <c r="D460" s="2">
        <v>158.805312082662</v>
      </c>
      <c r="E460" s="2">
        <v>181.140956870364</v>
      </c>
      <c r="F460" s="2">
        <v>180.988302154938</v>
      </c>
      <c r="G460" s="2">
        <v>156.569047612966</v>
      </c>
      <c r="H460" s="2">
        <v>111.967427107049</v>
      </c>
      <c r="I460" s="2">
        <v>56.5228650050346</v>
      </c>
      <c r="J460" s="2">
        <v>8.59299786570642</v>
      </c>
      <c r="K460" s="2">
        <v>0.0</v>
      </c>
    </row>
    <row r="461">
      <c r="A461" s="2">
        <v>459.0</v>
      </c>
      <c r="B461" s="2">
        <v>459.0</v>
      </c>
      <c r="C461" s="2">
        <v>140.429488306255</v>
      </c>
      <c r="D461" s="2">
        <v>159.662952697046</v>
      </c>
      <c r="E461" s="2">
        <v>181.579955826612</v>
      </c>
      <c r="F461" s="2">
        <v>181.049517978907</v>
      </c>
      <c r="G461" s="2">
        <v>156.303517034272</v>
      </c>
      <c r="H461" s="2">
        <v>111.474878673104</v>
      </c>
      <c r="I461" s="2">
        <v>55.9708200248</v>
      </c>
      <c r="J461" s="2">
        <v>8.28768161682501</v>
      </c>
      <c r="K461" s="2">
        <v>0.0</v>
      </c>
    </row>
    <row r="462">
      <c r="A462" s="2">
        <v>460.0</v>
      </c>
      <c r="B462" s="2">
        <v>460.0</v>
      </c>
      <c r="C462" s="2">
        <v>141.963475984311</v>
      </c>
      <c r="D462" s="2">
        <v>160.505741985205</v>
      </c>
      <c r="E462" s="2">
        <v>182.006788950319</v>
      </c>
      <c r="F462" s="2">
        <v>181.103068525496</v>
      </c>
      <c r="G462" s="2">
        <v>156.035717808145</v>
      </c>
      <c r="H462" s="2">
        <v>110.985444321399</v>
      </c>
      <c r="I462" s="2">
        <v>55.4261878229661</v>
      </c>
      <c r="J462" s="2">
        <v>7.99140048802512</v>
      </c>
      <c r="K462" s="2">
        <v>0.0</v>
      </c>
    </row>
    <row r="463">
      <c r="A463" s="2">
        <v>461.0</v>
      </c>
      <c r="B463" s="2">
        <v>461.0</v>
      </c>
      <c r="C463" s="2">
        <v>143.473838359541</v>
      </c>
      <c r="D463" s="2">
        <v>161.333433183031</v>
      </c>
      <c r="E463" s="2">
        <v>182.421399205237</v>
      </c>
      <c r="F463" s="2">
        <v>181.149016003792</v>
      </c>
      <c r="G463" s="2">
        <v>155.765782128244</v>
      </c>
      <c r="H463" s="2">
        <v>110.499270381554</v>
      </c>
      <c r="I463" s="2">
        <v>54.8890537340925</v>
      </c>
      <c r="J463" s="2">
        <v>7.70403979268092</v>
      </c>
      <c r="K463" s="2">
        <v>0.0</v>
      </c>
    </row>
    <row r="464">
      <c r="A464" s="2">
        <v>462.0</v>
      </c>
      <c r="B464" s="2">
        <v>462.0</v>
      </c>
      <c r="C464" s="2">
        <v>144.960030144714</v>
      </c>
      <c r="D464" s="2">
        <v>162.145781322904</v>
      </c>
      <c r="E464" s="2">
        <v>182.823731549954</v>
      </c>
      <c r="F464" s="2">
        <v>181.187423794582</v>
      </c>
      <c r="G464" s="2">
        <v>155.493842280321</v>
      </c>
      <c r="H464" s="2">
        <v>110.01650211316</v>
      </c>
      <c r="I464" s="2">
        <v>54.3595008181948</v>
      </c>
      <c r="J464" s="2">
        <v>7.42548103322185</v>
      </c>
      <c r="K464" s="2">
        <v>0.0</v>
      </c>
    </row>
    <row r="465">
      <c r="A465" s="2">
        <v>463.0</v>
      </c>
      <c r="B465" s="2">
        <v>463.0</v>
      </c>
      <c r="C465" s="2">
        <v>146.421523819537</v>
      </c>
      <c r="D465" s="2">
        <v>162.942545535806</v>
      </c>
      <c r="E465" s="2">
        <v>183.21373422047</v>
      </c>
      <c r="F465" s="2">
        <v>181.218356820988</v>
      </c>
      <c r="G465" s="2">
        <v>155.220030216901</v>
      </c>
      <c r="H465" s="2">
        <v>109.53728271734</v>
      </c>
      <c r="I465" s="2">
        <v>53.8376087214594</v>
      </c>
      <c r="J465" s="2">
        <v>7.15560143375897</v>
      </c>
      <c r="K465" s="2">
        <v>0.0</v>
      </c>
    </row>
    <row r="466">
      <c r="A466" s="2">
        <v>464.0</v>
      </c>
      <c r="B466" s="2">
        <v>464.0</v>
      </c>
      <c r="C466" s="2">
        <v>147.85780759593</v>
      </c>
      <c r="D466" s="2">
        <v>163.723488041545</v>
      </c>
      <c r="E466" s="2">
        <v>183.591358013359</v>
      </c>
      <c r="F466" s="2">
        <v>181.241881162435</v>
      </c>
      <c r="G466" s="2">
        <v>154.944477522573</v>
      </c>
      <c r="H466" s="2">
        <v>109.061753618725</v>
      </c>
      <c r="I466" s="2">
        <v>53.3234541680207</v>
      </c>
      <c r="J466" s="2">
        <v>6.89427443166001</v>
      </c>
      <c r="K466" s="2">
        <v>0.0</v>
      </c>
    </row>
    <row r="467">
      <c r="A467" s="2">
        <v>465.0</v>
      </c>
      <c r="B467" s="2">
        <v>465.0</v>
      </c>
      <c r="C467" s="2">
        <v>149.268385754337</v>
      </c>
      <c r="D467" s="2">
        <v>164.488374623722</v>
      </c>
      <c r="E467" s="2">
        <v>183.956556545325</v>
      </c>
      <c r="F467" s="2">
        <v>181.258064146797</v>
      </c>
      <c r="G467" s="2">
        <v>154.667315375066</v>
      </c>
      <c r="H467" s="2">
        <v>108.590054349216</v>
      </c>
      <c r="I467" s="2">
        <v>52.8171108583704</v>
      </c>
      <c r="J467" s="2">
        <v>6.64136980651202</v>
      </c>
      <c r="K467" s="2">
        <v>0.0</v>
      </c>
    </row>
    <row r="468">
      <c r="A468" s="2">
        <v>466.0</v>
      </c>
      <c r="B468" s="2">
        <v>466.0</v>
      </c>
      <c r="C468" s="2">
        <v>150.652778322465</v>
      </c>
      <c r="D468" s="2">
        <v>165.236974649299</v>
      </c>
      <c r="E468" s="2">
        <v>184.309286171842</v>
      </c>
      <c r="F468" s="2">
        <v>181.266974227834</v>
      </c>
      <c r="G468" s="2">
        <v>154.388674426863</v>
      </c>
      <c r="H468" s="2">
        <v>108.122322475974</v>
      </c>
      <c r="I468" s="2">
        <v>52.3186494916892</v>
      </c>
      <c r="J468" s="2">
        <v>6.39675390420855</v>
      </c>
      <c r="K468" s="2">
        <v>0.0</v>
      </c>
    </row>
    <row r="469">
      <c r="A469" s="2">
        <v>467.0</v>
      </c>
      <c r="B469" s="2">
        <v>467.0</v>
      </c>
      <c r="C469" s="2">
        <v>152.010519766379</v>
      </c>
      <c r="D469" s="2">
        <v>165.969060556333</v>
      </c>
      <c r="E469" s="2">
        <v>184.649505664201</v>
      </c>
      <c r="F469" s="2">
        <v>181.268680871947</v>
      </c>
      <c r="G469" s="2">
        <v>154.108684903672</v>
      </c>
      <c r="H469" s="2">
        <v>107.658693880004</v>
      </c>
      <c r="I469" s="2">
        <v>51.8281381560713</v>
      </c>
      <c r="J469" s="2">
        <v>6.16029004023399</v>
      </c>
      <c r="K469" s="2">
        <v>0.0</v>
      </c>
    </row>
    <row r="470">
      <c r="A470" s="2">
        <v>468.0</v>
      </c>
      <c r="B470" s="2">
        <v>468.0</v>
      </c>
      <c r="C470" s="2">
        <v>153.341160751607</v>
      </c>
      <c r="D470" s="2">
        <v>166.684409026315</v>
      </c>
      <c r="E470" s="2">
        <v>184.977176712669</v>
      </c>
      <c r="F470" s="2">
        <v>181.263254522154</v>
      </c>
      <c r="G470" s="2">
        <v>153.827476146842</v>
      </c>
      <c r="H470" s="2">
        <v>107.199302054005</v>
      </c>
      <c r="I470" s="2">
        <v>51.3456416557241</v>
      </c>
      <c r="J470" s="2">
        <v>5.93183838302416</v>
      </c>
      <c r="K470" s="2">
        <v>0.0</v>
      </c>
    </row>
    <row r="471">
      <c r="A471" s="2">
        <v>469.0</v>
      </c>
      <c r="B471" s="2">
        <v>469.0</v>
      </c>
      <c r="C471" s="2">
        <v>154.644268058534</v>
      </c>
      <c r="D471" s="2">
        <v>167.382801240731</v>
      </c>
      <c r="E471" s="2">
        <v>185.292264097905</v>
      </c>
      <c r="F471" s="2">
        <v>181.250766724346</v>
      </c>
      <c r="G471" s="2">
        <v>153.545176709692</v>
      </c>
      <c r="H471" s="2">
        <v>106.744278186067</v>
      </c>
      <c r="I471" s="2">
        <v>50.8712216198301</v>
      </c>
      <c r="J471" s="2">
        <v>5.71125621857015</v>
      </c>
      <c r="K471" s="2">
        <v>0.0</v>
      </c>
    </row>
    <row r="472">
      <c r="A472" s="2">
        <v>470.0</v>
      </c>
      <c r="B472" s="2">
        <v>470.0</v>
      </c>
      <c r="C472" s="2">
        <v>155.919421493376</v>
      </c>
      <c r="D472" s="2">
        <v>168.064021235286</v>
      </c>
      <c r="E472" s="2">
        <v>185.594734632839</v>
      </c>
      <c r="F472" s="2">
        <v>181.231289663447</v>
      </c>
      <c r="G472" s="2">
        <v>153.261914471956</v>
      </c>
      <c r="H472" s="2">
        <v>106.293751748199</v>
      </c>
      <c r="I472" s="2">
        <v>50.4049373400572</v>
      </c>
      <c r="J472" s="2">
        <v>5.49839860796238</v>
      </c>
      <c r="K472" s="2">
        <v>0.0</v>
      </c>
    </row>
    <row r="473">
      <c r="A473" s="2">
        <v>471.0</v>
      </c>
      <c r="B473" s="2">
        <v>471.0</v>
      </c>
      <c r="C473" s="2">
        <v>157.193004071221</v>
      </c>
      <c r="D473" s="2">
        <v>168.742094950922</v>
      </c>
      <c r="E473" s="2">
        <v>185.89071828307</v>
      </c>
      <c r="F473" s="2">
        <v>181.204246428348</v>
      </c>
      <c r="G473" s="2">
        <v>152.971631709921</v>
      </c>
      <c r="H473" s="2">
        <v>105.838208168808</v>
      </c>
      <c r="I473" s="2">
        <v>49.9369774278244</v>
      </c>
      <c r="J473" s="2">
        <v>5.28873844318014</v>
      </c>
      <c r="K473" s="2">
        <v>0.0</v>
      </c>
    </row>
    <row r="474">
      <c r="A474" s="2">
        <v>472.0</v>
      </c>
      <c r="B474" s="2">
        <v>472.0</v>
      </c>
      <c r="C474" s="2">
        <v>158.436567353809</v>
      </c>
      <c r="D474" s="2">
        <v>169.401800867517</v>
      </c>
      <c r="E474" s="2">
        <v>186.173469975761</v>
      </c>
      <c r="F474" s="2">
        <v>181.170061752366</v>
      </c>
      <c r="G474" s="2">
        <v>152.680610262076</v>
      </c>
      <c r="H474" s="2">
        <v>105.387624910306</v>
      </c>
      <c r="I474" s="2">
        <v>49.4776258906788</v>
      </c>
      <c r="J474" s="2">
        <v>5.0868289895942</v>
      </c>
      <c r="K474" s="2">
        <v>0.0</v>
      </c>
    </row>
    <row r="475">
      <c r="A475" s="2">
        <v>473.0</v>
      </c>
      <c r="B475" s="2">
        <v>473.0</v>
      </c>
      <c r="C475" s="2">
        <v>159.649712353244</v>
      </c>
      <c r="D475" s="2">
        <v>170.042923396554</v>
      </c>
      <c r="E475" s="2">
        <v>186.442963519487</v>
      </c>
      <c r="F475" s="2">
        <v>181.128815087673</v>
      </c>
      <c r="G475" s="2">
        <v>152.388982986067</v>
      </c>
      <c r="H475" s="2">
        <v>104.942132130231</v>
      </c>
      <c r="I475" s="2">
        <v>49.0269361745028</v>
      </c>
      <c r="J475" s="2">
        <v>4.8925088439039</v>
      </c>
      <c r="K475" s="2">
        <v>0.0</v>
      </c>
    </row>
    <row r="476">
      <c r="A476" s="2">
        <v>474.0</v>
      </c>
      <c r="B476" s="2">
        <v>474.0</v>
      </c>
      <c r="C476" s="2">
        <v>160.832055313831</v>
      </c>
      <c r="D476" s="2">
        <v>170.665251573532</v>
      </c>
      <c r="E476" s="2">
        <v>186.699175431266</v>
      </c>
      <c r="F476" s="2">
        <v>181.080586421006</v>
      </c>
      <c r="G476" s="2">
        <v>152.096881428992</v>
      </c>
      <c r="H476" s="2">
        <v>104.501857413883</v>
      </c>
      <c r="I476" s="2">
        <v>48.5849587751141</v>
      </c>
      <c r="J476" s="2">
        <v>4.70561501158598</v>
      </c>
      <c r="K476" s="2">
        <v>0.0</v>
      </c>
    </row>
    <row r="477">
      <c r="A477" s="2">
        <v>475.0</v>
      </c>
      <c r="B477" s="2">
        <v>475.0</v>
      </c>
      <c r="C477" s="2">
        <v>161.983228629646</v>
      </c>
      <c r="D477" s="2">
        <v>171.268579863961</v>
      </c>
      <c r="E477" s="2">
        <v>186.942085340665</v>
      </c>
      <c r="F477" s="2">
        <v>181.025456382001</v>
      </c>
      <c r="G477" s="2">
        <v>151.804435705248</v>
      </c>
      <c r="H477" s="2">
        <v>104.066925517456</v>
      </c>
      <c r="I477" s="2">
        <v>48.1517410081502</v>
      </c>
      <c r="J477" s="2">
        <v>4.52598306013873</v>
      </c>
      <c r="K477" s="2">
        <v>0.0</v>
      </c>
    </row>
    <row r="478">
      <c r="A478" s="2">
        <v>476.0</v>
      </c>
      <c r="B478" s="2">
        <v>476.0</v>
      </c>
      <c r="C478" s="2">
        <v>163.102880505514</v>
      </c>
      <c r="D478" s="2">
        <v>171.852708152451</v>
      </c>
      <c r="E478" s="2">
        <v>187.171675842408</v>
      </c>
      <c r="F478" s="2">
        <v>180.963506059948</v>
      </c>
      <c r="G478" s="2">
        <v>151.511774336931</v>
      </c>
      <c r="H478" s="2">
        <v>103.637458284216</v>
      </c>
      <c r="I478" s="2">
        <v>47.7273270587861</v>
      </c>
      <c r="J478" s="2">
        <v>4.35344742848088</v>
      </c>
      <c r="K478" s="2">
        <v>0.0</v>
      </c>
    </row>
    <row r="479">
      <c r="A479" s="2">
        <v>477.0</v>
      </c>
      <c r="B479" s="2">
        <v>477.0</v>
      </c>
      <c r="C479" s="2">
        <v>164.190673096743</v>
      </c>
      <c r="D479" s="2">
        <v>172.41744089268</v>
      </c>
      <c r="E479" s="2">
        <v>187.387931961109</v>
      </c>
      <c r="F479" s="2">
        <v>180.894816813383</v>
      </c>
      <c r="G479" s="2">
        <v>151.219024399538</v>
      </c>
      <c r="H479" s="2">
        <v>103.21357506519</v>
      </c>
      <c r="I479" s="2">
        <v>47.3117585548782</v>
      </c>
      <c r="J479" s="2">
        <v>4.18784195070761</v>
      </c>
      <c r="K479" s="2">
        <v>0.0</v>
      </c>
    </row>
    <row r="480">
      <c r="A480" s="2">
        <v>478.0</v>
      </c>
      <c r="B480" s="2">
        <v>478.0</v>
      </c>
      <c r="C480" s="2">
        <v>165.246285561241</v>
      </c>
      <c r="D480" s="2">
        <v>172.9625891333</v>
      </c>
      <c r="E480" s="2">
        <v>187.59084217527</v>
      </c>
      <c r="F480" s="2">
        <v>180.819470492123</v>
      </c>
      <c r="G480" s="2">
        <v>150.926311084933</v>
      </c>
      <c r="H480" s="2">
        <v>102.795391858238</v>
      </c>
      <c r="I480" s="2">
        <v>46.9050736785893</v>
      </c>
      <c r="J480" s="2">
        <v>4.02899973598449</v>
      </c>
      <c r="K480" s="2">
        <v>0.0</v>
      </c>
    </row>
    <row r="481">
      <c r="A481" s="2">
        <v>479.0</v>
      </c>
      <c r="B481" s="2">
        <v>479.0</v>
      </c>
      <c r="C481" s="2">
        <v>166.269411031862</v>
      </c>
      <c r="D481" s="2">
        <v>173.487968943375</v>
      </c>
      <c r="E481" s="2">
        <v>187.780397438029</v>
      </c>
      <c r="F481" s="2">
        <v>180.737549063019</v>
      </c>
      <c r="G481" s="2">
        <v>150.633757901525</v>
      </c>
      <c r="H481" s="2">
        <v>102.383021964619</v>
      </c>
      <c r="I481" s="2">
        <v>46.5073080452469</v>
      </c>
      <c r="J481" s="2">
        <v>3.87675383623187</v>
      </c>
      <c r="K481" s="2">
        <v>0.0</v>
      </c>
    </row>
    <row r="482">
      <c r="A482" s="2">
        <v>480.0</v>
      </c>
      <c r="B482" s="2">
        <v>480.0</v>
      </c>
      <c r="C482" s="2">
        <v>167.259759097617</v>
      </c>
      <c r="D482" s="2">
        <v>173.99340309114</v>
      </c>
      <c r="E482" s="2">
        <v>187.956591988125</v>
      </c>
      <c r="F482" s="2">
        <v>180.649134748826</v>
      </c>
      <c r="G482" s="2">
        <v>150.341486273394</v>
      </c>
      <c r="H482" s="2">
        <v>101.976575255168</v>
      </c>
      <c r="I482" s="2">
        <v>46.1184939783301</v>
      </c>
      <c r="J482" s="2">
        <v>3.73093721183084</v>
      </c>
      <c r="K482" s="2">
        <v>0.0</v>
      </c>
    </row>
    <row r="483">
      <c r="A483" s="2">
        <v>481.0</v>
      </c>
      <c r="B483" s="2">
        <v>481.0</v>
      </c>
      <c r="C483" s="2">
        <v>168.217052391153</v>
      </c>
      <c r="D483" s="2">
        <v>174.478719309715</v>
      </c>
      <c r="E483" s="2">
        <v>188.119422379026</v>
      </c>
      <c r="F483" s="2">
        <v>180.554309788218</v>
      </c>
      <c r="G483" s="2">
        <v>150.049615957405</v>
      </c>
      <c r="H483" s="2">
        <v>101.576159072066</v>
      </c>
      <c r="I483" s="2">
        <v>45.7386615920282</v>
      </c>
      <c r="J483" s="2">
        <v>3.59138345026399</v>
      </c>
      <c r="K483" s="2">
        <v>0.0</v>
      </c>
    </row>
    <row r="484">
      <c r="A484" s="2">
        <v>482.0</v>
      </c>
      <c r="B484" s="2">
        <v>482.0</v>
      </c>
      <c r="C484" s="2">
        <v>169.141029969796</v>
      </c>
      <c r="D484" s="2">
        <v>174.943752416119</v>
      </c>
      <c r="E484" s="2">
        <v>188.268888409879</v>
      </c>
      <c r="F484" s="2">
        <v>180.453156448586</v>
      </c>
      <c r="G484" s="2">
        <v>149.758264333676</v>
      </c>
      <c r="H484" s="2">
        <v>101.18187709274</v>
      </c>
      <c r="I484" s="2">
        <v>45.3678376967522</v>
      </c>
      <c r="J484" s="2">
        <v>3.45792660110684</v>
      </c>
      <c r="K484" s="2">
        <v>0.0</v>
      </c>
    </row>
    <row r="485">
      <c r="A485" s="2">
        <v>483.0</v>
      </c>
      <c r="B485" s="2">
        <v>483.0</v>
      </c>
      <c r="C485" s="2">
        <v>170.031444579979</v>
      </c>
      <c r="D485" s="2">
        <v>175.388343028765</v>
      </c>
      <c r="E485" s="2">
        <v>188.404992469992</v>
      </c>
      <c r="F485" s="2">
        <v>180.345756971075</v>
      </c>
      <c r="G485" s="2">
        <v>149.4675468756</v>
      </c>
      <c r="H485" s="2">
        <v>100.793830170224</v>
      </c>
      <c r="I485" s="2">
        <v>45.0060467563725</v>
      </c>
      <c r="J485" s="2">
        <v>3.33040181875894</v>
      </c>
      <c r="K485" s="2">
        <v>0.0</v>
      </c>
    </row>
    <row r="486">
      <c r="A486" s="2">
        <v>484.0</v>
      </c>
      <c r="B486" s="2">
        <v>484.0</v>
      </c>
      <c r="C486" s="2">
        <v>170.888064404299</v>
      </c>
      <c r="D486" s="2">
        <v>175.812338727519</v>
      </c>
      <c r="E486" s="2">
        <v>188.527739950128</v>
      </c>
      <c r="F486" s="2">
        <v>180.232193449924</v>
      </c>
      <c r="G486" s="2">
        <v>149.177576640638</v>
      </c>
      <c r="H486" s="2">
        <v>100.412115630216</v>
      </c>
      <c r="I486" s="2">
        <v>44.6533102842582</v>
      </c>
      <c r="J486" s="2">
        <v>3.20864540254557</v>
      </c>
      <c r="K486" s="2">
        <v>0.0</v>
      </c>
    </row>
    <row r="487">
      <c r="A487" s="2">
        <v>485.0</v>
      </c>
      <c r="B487" s="2">
        <v>485.0</v>
      </c>
      <c r="C487" s="2">
        <v>171.710671848166</v>
      </c>
      <c r="D487" s="2">
        <v>176.215593610026</v>
      </c>
      <c r="E487" s="2">
        <v>188.637138970468</v>
      </c>
      <c r="F487" s="2">
        <v>180.112547785112</v>
      </c>
      <c r="G487" s="2">
        <v>148.888464439959</v>
      </c>
      <c r="H487" s="2">
        <v>100.036827615094</v>
      </c>
      <c r="I487" s="2">
        <v>44.3096472870604</v>
      </c>
      <c r="J487" s="2">
        <v>3.09249522746269</v>
      </c>
      <c r="K487" s="2">
        <v>0.0</v>
      </c>
    </row>
    <row r="488">
      <c r="A488" s="2">
        <v>486.0</v>
      </c>
      <c r="B488" s="2">
        <v>486.0</v>
      </c>
      <c r="C488" s="2">
        <v>172.499062740171</v>
      </c>
      <c r="D488" s="2">
        <v>176.597968027476</v>
      </c>
      <c r="E488" s="2">
        <v>188.733200131931</v>
      </c>
      <c r="F488" s="2">
        <v>179.986901538419</v>
      </c>
      <c r="G488" s="2">
        <v>148.600318825694</v>
      </c>
      <c r="H488" s="2">
        <v>99.6680572059284</v>
      </c>
      <c r="I488" s="2">
        <v>43.9750745091221</v>
      </c>
      <c r="J488" s="2">
        <v>2.98179109258941</v>
      </c>
      <c r="K488" s="2">
        <v>0.0</v>
      </c>
    </row>
    <row r="489">
      <c r="A489" s="2">
        <v>487.0</v>
      </c>
      <c r="B489" s="2">
        <v>487.0</v>
      </c>
      <c r="C489" s="2">
        <v>173.25304882597</v>
      </c>
      <c r="D489" s="2">
        <v>176.959330275465</v>
      </c>
      <c r="E489" s="2">
        <v>188.815937314435</v>
      </c>
      <c r="F489" s="2">
        <v>179.855336065365</v>
      </c>
      <c r="G489" s="2">
        <v>148.313245692574</v>
      </c>
      <c r="H489" s="2">
        <v>99.305891701989</v>
      </c>
      <c r="I489" s="2">
        <v>43.6496057333052</v>
      </c>
      <c r="J489" s="2">
        <v>2.87637470873741</v>
      </c>
      <c r="K489" s="2">
        <v>0.0</v>
      </c>
    </row>
    <row r="490">
      <c r="A490" s="2">
        <v>488.0</v>
      </c>
      <c r="B490" s="2">
        <v>488.0</v>
      </c>
      <c r="C490" s="2">
        <v>173.972455310965</v>
      </c>
      <c r="D490" s="2">
        <v>177.299555339823</v>
      </c>
      <c r="E490" s="2">
        <v>188.885366887999</v>
      </c>
      <c r="F490" s="2">
        <v>179.717932220837</v>
      </c>
      <c r="G490" s="2">
        <v>148.027348450897</v>
      </c>
      <c r="H490" s="2">
        <v>98.950415162506</v>
      </c>
      <c r="I490" s="2">
        <v>43.3332525003402</v>
      </c>
      <c r="J490" s="2">
        <v>2.77609022257933</v>
      </c>
      <c r="K490" s="2">
        <v>0.0</v>
      </c>
    </row>
    <row r="491">
      <c r="A491" s="2">
        <v>489.0</v>
      </c>
      <c r="B491" s="2">
        <v>489.0</v>
      </c>
      <c r="C491" s="2">
        <v>174.65712019015</v>
      </c>
      <c r="D491" s="2">
        <v>177.618524755694</v>
      </c>
      <c r="E491" s="2">
        <v>188.94150760006</v>
      </c>
      <c r="F491" s="2">
        <v>179.574770350117</v>
      </c>
      <c r="G491" s="2">
        <v>147.742728127938</v>
      </c>
      <c r="H491" s="2">
        <v>98.6017086058137</v>
      </c>
      <c r="I491" s="2">
        <v>43.0260243840494</v>
      </c>
      <c r="J491" s="2">
        <v>2.6807845411689</v>
      </c>
      <c r="K491" s="2">
        <v>0.0</v>
      </c>
    </row>
    <row r="492">
      <c r="A492" s="2">
        <v>490.0</v>
      </c>
      <c r="B492" s="2">
        <v>490.0</v>
      </c>
      <c r="C492" s="2">
        <v>175.306898201183</v>
      </c>
      <c r="D492" s="2">
        <v>177.916129087982</v>
      </c>
      <c r="E492" s="2">
        <v>188.984381688339</v>
      </c>
      <c r="F492" s="2">
        <v>179.425930362555</v>
      </c>
      <c r="G492" s="2">
        <v>147.459482618917</v>
      </c>
      <c r="H492" s="2">
        <v>98.2598487672115</v>
      </c>
      <c r="I492" s="2">
        <v>42.7279277847651</v>
      </c>
      <c r="J492" s="2">
        <v>2.59030714321613</v>
      </c>
      <c r="K492" s="2">
        <v>0.0</v>
      </c>
    </row>
    <row r="493">
      <c r="A493" s="2">
        <v>491.0</v>
      </c>
      <c r="B493" s="2">
        <v>491.0</v>
      </c>
      <c r="C493" s="2">
        <v>175.921655385601</v>
      </c>
      <c r="D493" s="2">
        <v>178.192265017423</v>
      </c>
      <c r="E493" s="2">
        <v>189.014013377528</v>
      </c>
      <c r="F493" s="2">
        <v>179.271491486658</v>
      </c>
      <c r="G493" s="2">
        <v>147.177707515976</v>
      </c>
      <c r="H493" s="2">
        <v>97.9249096605284</v>
      </c>
      <c r="I493" s="2">
        <v>42.4389676552988</v>
      </c>
      <c r="J493" s="2">
        <v>2.50451090587274</v>
      </c>
      <c r="K493" s="2">
        <v>0.0</v>
      </c>
    </row>
    <row r="494">
      <c r="A494" s="2">
        <v>492.0</v>
      </c>
      <c r="B494" s="2">
        <v>492.0</v>
      </c>
      <c r="C494" s="2">
        <v>176.501271966775</v>
      </c>
      <c r="D494" s="2">
        <v>178.44683718199</v>
      </c>
      <c r="E494" s="2">
        <v>189.030429663907</v>
      </c>
      <c r="F494" s="2">
        <v>179.111532276217</v>
      </c>
      <c r="G494" s="2">
        <v>146.897495509661</v>
      </c>
      <c r="H494" s="2">
        <v>97.5969616309043</v>
      </c>
      <c r="I494" s="2">
        <v>42.1591466098025</v>
      </c>
      <c r="J494" s="2">
        <v>2.4232520082447</v>
      </c>
      <c r="K494" s="2">
        <v>0.0</v>
      </c>
    </row>
    <row r="495">
      <c r="A495" s="2">
        <v>493.0</v>
      </c>
      <c r="B495" s="2">
        <v>493.0</v>
      </c>
      <c r="C495" s="2">
        <v>177.045643763544</v>
      </c>
      <c r="D495" s="2">
        <v>178.679759228053</v>
      </c>
      <c r="E495" s="2">
        <v>189.033660774094</v>
      </c>
      <c r="F495" s="2">
        <v>178.946130669005</v>
      </c>
      <c r="G495" s="2">
        <v>146.618936142712</v>
      </c>
      <c r="H495" s="2">
        <v>97.2760709383239</v>
      </c>
      <c r="I495" s="2">
        <v>41.8884645561321</v>
      </c>
      <c r="J495" s="2">
        <v>2.34639001802532</v>
      </c>
      <c r="K495" s="2">
        <v>0.0</v>
      </c>
    </row>
    <row r="496">
      <c r="A496" s="2">
        <v>494.0</v>
      </c>
      <c r="B496" s="2">
        <v>494.0</v>
      </c>
      <c r="C496" s="2">
        <v>177.554677198008</v>
      </c>
      <c r="D496" s="2">
        <v>178.89095109328</v>
      </c>
      <c r="E496" s="2">
        <v>189.023738716536</v>
      </c>
      <c r="F496" s="2">
        <v>178.775363680042</v>
      </c>
      <c r="G496" s="2">
        <v>146.342116486299</v>
      </c>
      <c r="H496" s="2">
        <v>96.9623011145999</v>
      </c>
      <c r="I496" s="2">
        <v>41.6269202208568</v>
      </c>
      <c r="J496" s="2">
        <v>2.27378859912052</v>
      </c>
      <c r="K496" s="2">
        <v>0.0</v>
      </c>
    </row>
    <row r="497">
      <c r="A497" s="2">
        <v>495.0</v>
      </c>
      <c r="B497" s="2">
        <v>495.0</v>
      </c>
      <c r="C497" s="2">
        <v>178.028294895709</v>
      </c>
      <c r="D497" s="2">
        <v>179.080342469764</v>
      </c>
      <c r="E497" s="2">
        <v>189.000698916003</v>
      </c>
      <c r="F497" s="2">
        <v>178.599307618406</v>
      </c>
      <c r="G497" s="2">
        <v>146.067120210502</v>
      </c>
      <c r="H497" s="2">
        <v>96.6557113179261</v>
      </c>
      <c r="I497" s="2">
        <v>41.3745094924305</v>
      </c>
      <c r="J497" s="2">
        <v>2.20531514797701</v>
      </c>
      <c r="K497" s="2">
        <v>0.0</v>
      </c>
    </row>
    <row r="498">
      <c r="A498" s="2">
        <v>496.0</v>
      </c>
      <c r="B498" s="2">
        <v>496.0</v>
      </c>
      <c r="C498" s="2">
        <v>178.466430177727</v>
      </c>
      <c r="D498" s="2">
        <v>179.24786977569</v>
      </c>
      <c r="E498" s="2">
        <v>188.964578619833</v>
      </c>
      <c r="F498" s="2">
        <v>178.418037766898</v>
      </c>
      <c r="G498" s="2">
        <v>145.794028351867</v>
      </c>
      <c r="H498" s="2">
        <v>96.3563578448661</v>
      </c>
      <c r="I498" s="2">
        <v>41.1312270986755</v>
      </c>
      <c r="J498" s="2">
        <v>2.14084152057782</v>
      </c>
      <c r="K498" s="2">
        <v>0.0</v>
      </c>
    </row>
    <row r="499">
      <c r="A499" s="2">
        <v>497.0</v>
      </c>
      <c r="B499" s="2">
        <v>497.0</v>
      </c>
      <c r="C499" s="2">
        <v>178.869031683248</v>
      </c>
      <c r="D499" s="2">
        <v>179.393479078074</v>
      </c>
      <c r="E499" s="2">
        <v>188.915418309624</v>
      </c>
      <c r="F499" s="2">
        <v>178.231628631396</v>
      </c>
      <c r="G499" s="2">
        <v>145.522918617007</v>
      </c>
      <c r="H499" s="2">
        <v>96.0642928356381</v>
      </c>
      <c r="I499" s="2">
        <v>40.8970652911197</v>
      </c>
      <c r="J499" s="2">
        <v>2.08024376689541</v>
      </c>
      <c r="K499" s="2">
        <v>0.0</v>
      </c>
    </row>
    <row r="500">
      <c r="A500" s="2">
        <v>498.0</v>
      </c>
      <c r="B500" s="2">
        <v>498.0</v>
      </c>
      <c r="C500" s="2">
        <v>179.236059294214</v>
      </c>
      <c r="D500" s="2">
        <v>179.517123818795</v>
      </c>
      <c r="E500" s="2">
        <v>188.853260398663</v>
      </c>
      <c r="F500" s="2">
        <v>178.040153540989</v>
      </c>
      <c r="G500" s="2">
        <v>145.253865780801</v>
      </c>
      <c r="H500" s="2">
        <v>95.7795652487476</v>
      </c>
      <c r="I500" s="2">
        <v>40.6720150004678</v>
      </c>
      <c r="J500" s="2">
        <v>2.02340266594016</v>
      </c>
      <c r="K500" s="2">
        <v>0.0</v>
      </c>
    </row>
    <row r="501">
      <c r="A501" s="2">
        <v>499.0</v>
      </c>
      <c r="B501" s="2">
        <v>499.0</v>
      </c>
      <c r="C501" s="2">
        <v>179.56748783278</v>
      </c>
      <c r="D501" s="2">
        <v>179.618767246159</v>
      </c>
      <c r="E501" s="2">
        <v>188.778150476303</v>
      </c>
      <c r="F501" s="2">
        <v>177.843684982671</v>
      </c>
      <c r="G501" s="2">
        <v>144.986941266004</v>
      </c>
      <c r="H501" s="2">
        <v>95.5022199444578</v>
      </c>
      <c r="I501" s="2">
        <v>40.4560648715954</v>
      </c>
      <c r="J501" s="2">
        <v>1.97020355405895</v>
      </c>
      <c r="K501" s="2">
        <v>0.0</v>
      </c>
    </row>
    <row r="502">
      <c r="A502" s="2">
        <v>500.0</v>
      </c>
      <c r="B502" s="2">
        <v>500.0</v>
      </c>
      <c r="C502" s="2">
        <v>179.863303494143</v>
      </c>
      <c r="D502" s="2">
        <v>179.69838041119</v>
      </c>
      <c r="E502" s="2">
        <v>188.690136131449</v>
      </c>
      <c r="F502" s="2">
        <v>177.642294205238</v>
      </c>
      <c r="G502" s="2">
        <v>144.722213443794</v>
      </c>
      <c r="H502" s="2">
        <v>95.2322984959238</v>
      </c>
      <c r="I502" s="2">
        <v>40.2492022464944</v>
      </c>
      <c r="J502" s="2">
        <v>1.92053677665695</v>
      </c>
      <c r="K502" s="2">
        <v>0.0</v>
      </c>
    </row>
    <row r="503">
      <c r="A503" s="2">
        <v>501.0</v>
      </c>
      <c r="B503" s="2">
        <v>501.0</v>
      </c>
      <c r="C503" s="2">
        <v>180.123505352698</v>
      </c>
      <c r="D503" s="2">
        <v>179.755943265689</v>
      </c>
      <c r="E503" s="2">
        <v>188.589267494596</v>
      </c>
      <c r="F503" s="2">
        <v>177.436051372739</v>
      </c>
      <c r="G503" s="2">
        <v>144.459747472109</v>
      </c>
      <c r="H503" s="2">
        <v>94.9698388279576</v>
      </c>
      <c r="I503" s="2">
        <v>40.0514128041537</v>
      </c>
      <c r="J503" s="2">
        <v>1.87429768902776</v>
      </c>
      <c r="K503" s="2">
        <v>0.0</v>
      </c>
    </row>
    <row r="504">
      <c r="A504" s="2">
        <v>502.0</v>
      </c>
      <c r="B504" s="2">
        <v>502.0</v>
      </c>
      <c r="C504" s="2">
        <v>180.348105691869</v>
      </c>
      <c r="D504" s="2">
        <v>179.791445014663</v>
      </c>
      <c r="E504" s="2">
        <v>188.475597345433</v>
      </c>
      <c r="F504" s="2">
        <v>177.225025549088</v>
      </c>
      <c r="G504" s="2">
        <v>144.199605200094</v>
      </c>
      <c r="H504" s="2">
        <v>94.71487509269</v>
      </c>
      <c r="I504" s="2">
        <v>39.8626804872526</v>
      </c>
      <c r="J504" s="2">
        <v>1.83138674669591</v>
      </c>
      <c r="K504" s="2">
        <v>0.0</v>
      </c>
    </row>
    <row r="505">
      <c r="A505" s="2">
        <v>503.0</v>
      </c>
      <c r="B505" s="2">
        <v>503.0</v>
      </c>
      <c r="C505" s="2">
        <v>180.537128669523</v>
      </c>
      <c r="D505" s="2">
        <v>179.804883444646</v>
      </c>
      <c r="E505" s="2">
        <v>188.349180669823</v>
      </c>
      <c r="F505" s="2">
        <v>177.009284523132</v>
      </c>
      <c r="G505" s="2">
        <v>143.941845245852</v>
      </c>
      <c r="H505" s="2">
        <v>94.4674379460202</v>
      </c>
      <c r="I505" s="2">
        <v>39.6829878727619</v>
      </c>
      <c r="J505" s="2">
        <v>1.79170972139568</v>
      </c>
      <c r="K505" s="2">
        <v>0.0</v>
      </c>
    </row>
    <row r="506">
      <c r="A506" s="2">
        <v>504.0</v>
      </c>
      <c r="B506" s="2">
        <v>504.0</v>
      </c>
      <c r="C506" s="2">
        <v>180.690611226446</v>
      </c>
      <c r="D506" s="2">
        <v>179.796265619196</v>
      </c>
      <c r="E506" s="2">
        <v>188.210074970759</v>
      </c>
      <c r="F506" s="2">
        <v>176.788894870385</v>
      </c>
      <c r="G506" s="2">
        <v>143.686522864316</v>
      </c>
      <c r="H506" s="2">
        <v>94.2275543021027</v>
      </c>
      <c r="I506" s="2">
        <v>39.5123159477923</v>
      </c>
      <c r="J506" s="2">
        <v>1.75517772020763</v>
      </c>
      <c r="K506" s="2">
        <v>0.0</v>
      </c>
    </row>
    <row r="507">
      <c r="A507" s="2">
        <v>505.0</v>
      </c>
      <c r="B507" s="2">
        <v>505.0</v>
      </c>
      <c r="C507" s="2">
        <v>180.808601865174</v>
      </c>
      <c r="D507" s="2">
        <v>179.765607298233</v>
      </c>
      <c r="E507" s="2">
        <v>188.058339937102</v>
      </c>
      <c r="F507" s="2">
        <v>176.563921887259</v>
      </c>
      <c r="G507" s="2">
        <v>143.433690114597</v>
      </c>
      <c r="H507" s="2">
        <v>93.9952476664645</v>
      </c>
      <c r="I507" s="2">
        <v>39.350644495635</v>
      </c>
      <c r="J507" s="2">
        <v>1.72170737558925</v>
      </c>
      <c r="K507" s="2">
        <v>0.0</v>
      </c>
    </row>
    <row r="508">
      <c r="A508" s="2">
        <v>506.0</v>
      </c>
      <c r="B508" s="2">
        <v>506.0</v>
      </c>
      <c r="C508" s="2">
        <v>180.891162520417</v>
      </c>
      <c r="D508" s="2">
        <v>179.712934147387</v>
      </c>
      <c r="E508" s="2">
        <v>187.894037965471</v>
      </c>
      <c r="F508" s="2">
        <v>176.334429619182</v>
      </c>
      <c r="G508" s="2">
        <v>143.183395501682</v>
      </c>
      <c r="H508" s="2">
        <v>93.7705375508358</v>
      </c>
      <c r="I508" s="2">
        <v>39.1979515391633</v>
      </c>
      <c r="J508" s="2">
        <v>1.69122075381431</v>
      </c>
      <c r="K508" s="2">
        <v>0.0</v>
      </c>
    </row>
    <row r="509">
      <c r="A509" s="2">
        <v>507.0</v>
      </c>
      <c r="B509" s="2">
        <v>507.0</v>
      </c>
      <c r="C509" s="2">
        <v>180.938365272549</v>
      </c>
      <c r="D509" s="2">
        <v>179.638279927542</v>
      </c>
      <c r="E509" s="2">
        <v>187.717233245871</v>
      </c>
      <c r="F509" s="2">
        <v>176.100480724067</v>
      </c>
      <c r="G509" s="2">
        <v>142.935684488395</v>
      </c>
      <c r="H509" s="2">
        <v>93.5534404113779</v>
      </c>
      <c r="I509" s="2">
        <v>39.0542143404332</v>
      </c>
      <c r="J509" s="2">
        <v>1.66364569747342</v>
      </c>
      <c r="K509" s="2">
        <v>0.0</v>
      </c>
    </row>
    <row r="510">
      <c r="A510" s="2">
        <v>508.0</v>
      </c>
      <c r="B510" s="2">
        <v>508.0</v>
      </c>
      <c r="C510" s="2">
        <v>180.950295749153</v>
      </c>
      <c r="D510" s="2">
        <v>179.541688571092</v>
      </c>
      <c r="E510" s="2">
        <v>187.52799269495</v>
      </c>
      <c r="F510" s="2">
        <v>175.862136537399</v>
      </c>
      <c r="G510" s="2">
        <v>142.690598868266</v>
      </c>
      <c r="H510" s="2">
        <v>93.3439686007626</v>
      </c>
      <c r="I510" s="2">
        <v>38.9194083678636</v>
      </c>
      <c r="J510" s="2">
        <v>1.63891558023323</v>
      </c>
      <c r="K510" s="2">
        <v>0.0</v>
      </c>
    </row>
    <row r="511">
      <c r="A511" s="2">
        <v>509.0</v>
      </c>
      <c r="B511" s="2">
        <v>509.0</v>
      </c>
      <c r="C511" s="2">
        <v>180.927050418928</v>
      </c>
      <c r="D511" s="2">
        <v>179.423212711334</v>
      </c>
      <c r="E511" s="2">
        <v>187.32638524513</v>
      </c>
      <c r="F511" s="2">
        <v>175.619457012697</v>
      </c>
      <c r="G511" s="2">
        <v>142.448177240413</v>
      </c>
      <c r="H511" s="2">
        <v>93.1421311843561</v>
      </c>
      <c r="I511" s="2">
        <v>38.7935081436745</v>
      </c>
      <c r="J511" s="2">
        <v>1.6169695810034</v>
      </c>
      <c r="K511" s="2">
        <v>0.0</v>
      </c>
    </row>
    <row r="512">
      <c r="A512" s="2">
        <v>510.0</v>
      </c>
      <c r="B512" s="2">
        <v>510.0</v>
      </c>
      <c r="C512" s="2">
        <v>180.868737409511</v>
      </c>
      <c r="D512" s="2">
        <v>179.282914222998</v>
      </c>
      <c r="E512" s="2">
        <v>187.112482048217</v>
      </c>
      <c r="F512" s="2">
        <v>175.372500696413</v>
      </c>
      <c r="G512" s="2">
        <v>142.208454811492</v>
      </c>
      <c r="H512" s="2">
        <v>92.947933647994</v>
      </c>
      <c r="I512" s="2">
        <v>38.6764869795415</v>
      </c>
      <c r="J512" s="2">
        <v>1.59775263768583</v>
      </c>
      <c r="K512" s="2">
        <v>0.0</v>
      </c>
    </row>
    <row r="513">
      <c r="A513" s="2">
        <v>511.0</v>
      </c>
      <c r="B513" s="2">
        <v>511.0</v>
      </c>
      <c r="C513" s="2">
        <v>180.775476424427</v>
      </c>
      <c r="D513" s="2">
        <v>179.120864277132</v>
      </c>
      <c r="E513" s="2">
        <v>186.886356524008</v>
      </c>
      <c r="F513" s="2">
        <v>175.12132479555</v>
      </c>
      <c r="G513" s="2">
        <v>141.971463473903</v>
      </c>
      <c r="H513" s="2">
        <v>92.7613779762663</v>
      </c>
      <c r="I513" s="2">
        <v>38.5683170472099</v>
      </c>
      <c r="J513" s="2">
        <v>1.58121547994259</v>
      </c>
      <c r="K513" s="2">
        <v>0.0</v>
      </c>
    </row>
    <row r="514">
      <c r="A514" s="2">
        <v>512.0</v>
      </c>
      <c r="B514" s="2">
        <v>512.0</v>
      </c>
      <c r="C514" s="2">
        <v>180.647398399434</v>
      </c>
      <c r="D514" s="2">
        <v>178.937143124327</v>
      </c>
      <c r="E514" s="2">
        <v>186.648084136121</v>
      </c>
      <c r="F514" s="2">
        <v>174.865984991785</v>
      </c>
      <c r="G514" s="2">
        <v>141.737231678883</v>
      </c>
      <c r="H514" s="2">
        <v>92.5824625956851</v>
      </c>
      <c r="I514" s="2">
        <v>38.4689693885868</v>
      </c>
      <c r="J514" s="2">
        <v>1.56731464905127</v>
      </c>
      <c r="K514" s="2">
        <v>0.0</v>
      </c>
    </row>
    <row r="515">
      <c r="A515" s="2">
        <v>513.0</v>
      </c>
      <c r="B515" s="2">
        <v>513.0</v>
      </c>
      <c r="C515" s="2">
        <v>180.48464553327</v>
      </c>
      <c r="D515" s="2">
        <v>178.731840235461</v>
      </c>
      <c r="E515" s="2">
        <v>186.397742551839</v>
      </c>
      <c r="F515" s="2">
        <v>174.606535617624</v>
      </c>
      <c r="G515" s="2">
        <v>141.505784603607</v>
      </c>
      <c r="H515" s="2">
        <v>92.4111825089319</v>
      </c>
      <c r="I515" s="2">
        <v>38.3784140010113</v>
      </c>
      <c r="J515" s="2">
        <v>1.5560125107672</v>
      </c>
      <c r="K515" s="2">
        <v>0.0</v>
      </c>
    </row>
    <row r="516">
      <c r="A516" s="2">
        <v>514.0</v>
      </c>
      <c r="B516" s="2">
        <v>514.0</v>
      </c>
      <c r="C516" s="2">
        <v>180.287370466574</v>
      </c>
      <c r="D516" s="2">
        <v>178.505053791108</v>
      </c>
      <c r="E516" s="2">
        <v>186.135411302959</v>
      </c>
      <c r="F516" s="2">
        <v>174.343029483729</v>
      </c>
      <c r="G516" s="2">
        <v>141.277144134904</v>
      </c>
      <c r="H516" s="2">
        <v>92.2475294022232</v>
      </c>
      <c r="I516" s="2">
        <v>38.2966199976554</v>
      </c>
      <c r="J516" s="2">
        <v>1.54727729690498</v>
      </c>
      <c r="K516" s="2">
        <v>0.0</v>
      </c>
    </row>
    <row r="517">
      <c r="A517" s="2">
        <v>515.0</v>
      </c>
      <c r="B517" s="2">
        <v>515.0</v>
      </c>
      <c r="C517" s="2">
        <v>180.055738800787</v>
      </c>
      <c r="D517" s="2">
        <v>178.25689222732</v>
      </c>
      <c r="E517" s="2">
        <v>185.861172585625</v>
      </c>
      <c r="F517" s="2">
        <v>174.075518075552</v>
      </c>
      <c r="G517" s="2">
        <v>141.051328558581</v>
      </c>
      <c r="H517" s="2">
        <v>92.0914909948081</v>
      </c>
      <c r="I517" s="2">
        <v>38.2235549044499</v>
      </c>
      <c r="J517" s="2">
        <v>1.54108288928633</v>
      </c>
      <c r="K517" s="2">
        <v>0.0</v>
      </c>
    </row>
    <row r="518">
      <c r="A518" s="2">
        <v>516.0</v>
      </c>
      <c r="B518" s="2">
        <v>516.0</v>
      </c>
      <c r="C518" s="2">
        <v>179.7899237317</v>
      </c>
      <c r="D518" s="2">
        <v>177.987471052158</v>
      </c>
      <c r="E518" s="2">
        <v>185.575109681142</v>
      </c>
      <c r="F518" s="2">
        <v>173.804051272851</v>
      </c>
      <c r="G518" s="2">
        <v>140.828353347772</v>
      </c>
      <c r="H518" s="2">
        <v>91.9430525164701</v>
      </c>
      <c r="I518" s="2">
        <v>38.1591861975461</v>
      </c>
      <c r="J518" s="2">
        <v>1.53740921803318</v>
      </c>
      <c r="K518" s="2">
        <v>0.0</v>
      </c>
    </row>
    <row r="519">
      <c r="A519" s="2">
        <v>517.0</v>
      </c>
      <c r="B519" s="2">
        <v>517.0</v>
      </c>
      <c r="C519" s="2">
        <v>179.496843595277</v>
      </c>
      <c r="D519" s="2">
        <v>177.70331749997</v>
      </c>
      <c r="E519" s="2">
        <v>185.283766487163</v>
      </c>
      <c r="F519" s="2">
        <v>173.534576993881</v>
      </c>
      <c r="G519" s="2">
        <v>140.612883960365</v>
      </c>
      <c r="H519" s="2">
        <v>91.8051132079151</v>
      </c>
      <c r="I519" s="2">
        <v>38.1045748496055</v>
      </c>
      <c r="J519" s="2">
        <v>1.53624056061755</v>
      </c>
      <c r="K519" s="2">
        <v>0.0</v>
      </c>
    </row>
    <row r="520">
      <c r="A520" s="2">
        <v>518.0</v>
      </c>
      <c r="B520" s="2">
        <v>518.0</v>
      </c>
      <c r="C520" s="2">
        <v>179.171381011151</v>
      </c>
      <c r="D520" s="2">
        <v>177.399045402568</v>
      </c>
      <c r="E520" s="2">
        <v>184.981261353769</v>
      </c>
      <c r="F520" s="2">
        <v>173.261404443004</v>
      </c>
      <c r="G520" s="2">
        <v>140.40015489972</v>
      </c>
      <c r="H520" s="2">
        <v>91.6744154130014</v>
      </c>
      <c r="I520" s="2">
        <v>38.0582283703424</v>
      </c>
      <c r="J520" s="2">
        <v>1.53746439841461</v>
      </c>
      <c r="K520" s="2">
        <v>0.0</v>
      </c>
    </row>
    <row r="521">
      <c r="A521" s="2">
        <v>519.0</v>
      </c>
      <c r="B521" s="2">
        <v>519.0</v>
      </c>
      <c r="C521" s="2">
        <v>178.813729631203</v>
      </c>
      <c r="D521" s="2">
        <v>177.074788682249</v>
      </c>
      <c r="E521" s="2">
        <v>184.66767837171</v>
      </c>
      <c r="F521" s="2">
        <v>172.984576460095</v>
      </c>
      <c r="G521" s="2">
        <v>140.190171344355</v>
      </c>
      <c r="H521" s="2">
        <v>91.5509355039253</v>
      </c>
      <c r="I521" s="2">
        <v>38.0201130843011</v>
      </c>
      <c r="J521" s="2">
        <v>1.54107768539014</v>
      </c>
      <c r="K521" s="2">
        <v>0.0</v>
      </c>
    </row>
    <row r="522">
      <c r="A522" s="2">
        <v>520.0</v>
      </c>
      <c r="B522" s="2">
        <v>520.0</v>
      </c>
      <c r="C522" s="2">
        <v>178.424091381623</v>
      </c>
      <c r="D522" s="2">
        <v>176.730688428034</v>
      </c>
      <c r="E522" s="2">
        <v>184.34310299345</v>
      </c>
      <c r="F522" s="2">
        <v>172.704134472422</v>
      </c>
      <c r="G522" s="2">
        <v>139.982935681617</v>
      </c>
      <c r="H522" s="2">
        <v>91.4346471626841</v>
      </c>
      <c r="I522" s="2">
        <v>37.9901947976052</v>
      </c>
      <c r="J522" s="2">
        <v>1.54708262826329</v>
      </c>
      <c r="K522" s="2">
        <v>0.0</v>
      </c>
    </row>
    <row r="523">
      <c r="A523" s="2">
        <v>521.0</v>
      </c>
      <c r="B523" s="2">
        <v>521.0</v>
      </c>
      <c r="C523" s="2">
        <v>178.00267902563</v>
      </c>
      <c r="D523" s="2">
        <v>176.366894410659</v>
      </c>
      <c r="E523" s="2">
        <v>184.007622862591</v>
      </c>
      <c r="F523" s="2">
        <v>172.420118731011</v>
      </c>
      <c r="G523" s="2">
        <v>139.778447232361</v>
      </c>
      <c r="H523" s="2">
        <v>91.3255207490019</v>
      </c>
      <c r="I523" s="2">
        <v>37.9684380810922</v>
      </c>
      <c r="J523" s="2">
        <v>1.55548642417827</v>
      </c>
      <c r="K523" s="2">
        <v>0.0</v>
      </c>
    </row>
    <row r="524">
      <c r="A524" s="2">
        <v>522.0</v>
      </c>
      <c r="B524" s="2">
        <v>522.0</v>
      </c>
      <c r="C524" s="2">
        <v>177.549712296216</v>
      </c>
      <c r="D524" s="2">
        <v>175.983562672664</v>
      </c>
      <c r="E524" s="2">
        <v>183.661326573946</v>
      </c>
      <c r="F524" s="2">
        <v>172.132567997308</v>
      </c>
      <c r="G524" s="2">
        <v>139.576702708353</v>
      </c>
      <c r="H524" s="2">
        <v>91.2235242653999</v>
      </c>
      <c r="I524" s="2">
        <v>37.9548072933318</v>
      </c>
      <c r="J524" s="2">
        <v>1.5663014858539</v>
      </c>
      <c r="K524" s="2">
        <v>0.0</v>
      </c>
    </row>
    <row r="525">
      <c r="A525" s="2">
        <v>523.0</v>
      </c>
      <c r="B525" s="2">
        <v>523.0</v>
      </c>
      <c r="C525" s="2">
        <v>177.065421554921</v>
      </c>
      <c r="D525" s="2">
        <v>175.580857699015</v>
      </c>
      <c r="E525" s="2">
        <v>183.304304870867</v>
      </c>
      <c r="F525" s="2">
        <v>171.841519897545</v>
      </c>
      <c r="G525" s="2">
        <v>139.377695837855</v>
      </c>
      <c r="H525" s="2">
        <v>91.128622472904</v>
      </c>
      <c r="I525" s="2">
        <v>37.9492655727279</v>
      </c>
      <c r="J525" s="2">
        <v>1.57954508143799</v>
      </c>
      <c r="K525" s="2">
        <v>0.0</v>
      </c>
    </row>
    <row r="526">
      <c r="A526" s="2">
        <v>524.0</v>
      </c>
      <c r="B526" s="2">
        <v>524.0</v>
      </c>
      <c r="C526" s="2">
        <v>176.55004603789</v>
      </c>
      <c r="D526" s="2">
        <v>175.15895126078</v>
      </c>
      <c r="E526" s="2">
        <v>182.93665005961</v>
      </c>
      <c r="F526" s="2">
        <v>171.547010763846</v>
      </c>
      <c r="G526" s="2">
        <v>139.181417556657</v>
      </c>
      <c r="H526" s="2">
        <v>91.0407773076313</v>
      </c>
      <c r="I526" s="2">
        <v>37.9517752661314</v>
      </c>
      <c r="J526" s="2">
        <v>1.59523937856722</v>
      </c>
      <c r="K526" s="2">
        <v>0.0</v>
      </c>
    </row>
    <row r="527">
      <c r="A527" s="2">
        <v>525.0</v>
      </c>
      <c r="B527" s="2">
        <v>525.0</v>
      </c>
      <c r="C527" s="2">
        <v>176.003832200707</v>
      </c>
      <c r="D527" s="2">
        <v>174.718021341148</v>
      </c>
      <c r="E527" s="2">
        <v>182.558455510296</v>
      </c>
      <c r="F527" s="2">
        <v>171.249075553834</v>
      </c>
      <c r="G527" s="2">
        <v>138.987856259878</v>
      </c>
      <c r="H527" s="2">
        <v>90.9599483336688</v>
      </c>
      <c r="I527" s="2">
        <v>37.9622983676968</v>
      </c>
      <c r="J527" s="2">
        <v>1.6134114838542</v>
      </c>
      <c r="K527" s="2">
        <v>0.0</v>
      </c>
    </row>
    <row r="528">
      <c r="A528" s="2">
        <v>526.0</v>
      </c>
      <c r="B528" s="2">
        <v>526.0</v>
      </c>
      <c r="C528" s="2">
        <v>175.427036784544</v>
      </c>
      <c r="D528" s="2">
        <v>174.258253897354</v>
      </c>
      <c r="E528" s="2">
        <v>182.169816627614</v>
      </c>
      <c r="F528" s="2">
        <v>170.947748117048</v>
      </c>
      <c r="G528" s="2">
        <v>138.796997458387</v>
      </c>
      <c r="H528" s="2">
        <v>90.8860919721967</v>
      </c>
      <c r="I528" s="2">
        <v>37.980795639808</v>
      </c>
      <c r="J528" s="2">
        <v>1.63409309818539</v>
      </c>
      <c r="K528" s="2">
        <v>0.0</v>
      </c>
    </row>
    <row r="529">
      <c r="A529" s="2">
        <v>527.0</v>
      </c>
      <c r="B529" s="2">
        <v>527.0</v>
      </c>
      <c r="C529" s="2">
        <v>174.819924105545</v>
      </c>
      <c r="D529" s="2">
        <v>173.779841129084</v>
      </c>
      <c r="E529" s="2">
        <v>181.770830014063</v>
      </c>
      <c r="F529" s="2">
        <v>170.643061030796</v>
      </c>
      <c r="G529" s="2">
        <v>138.608824158457</v>
      </c>
      <c r="H529" s="2">
        <v>90.8191622219196</v>
      </c>
      <c r="I529" s="2">
        <v>38.0072273362768</v>
      </c>
      <c r="J529" s="2">
        <v>1.65732062430958</v>
      </c>
      <c r="K529" s="2">
        <v>0.0</v>
      </c>
    </row>
    <row r="530">
      <c r="A530" s="2">
        <v>528.0</v>
      </c>
      <c r="B530" s="2">
        <v>528.0</v>
      </c>
      <c r="C530" s="2">
        <v>174.182766454617</v>
      </c>
      <c r="D530" s="2">
        <v>173.282981596487</v>
      </c>
      <c r="E530" s="2">
        <v>181.36159356894</v>
      </c>
      <c r="F530" s="2">
        <v>170.335045624697</v>
      </c>
      <c r="G530" s="2">
        <v>138.42331680892</v>
      </c>
      <c r="H530" s="2">
        <v>90.7591105392893</v>
      </c>
      <c r="I530" s="2">
        <v>38.0415530355056</v>
      </c>
      <c r="J530" s="2">
        <v>1.68313501659455</v>
      </c>
      <c r="K530" s="2">
        <v>0.0</v>
      </c>
    </row>
    <row r="531">
      <c r="A531" s="2">
        <v>529.0</v>
      </c>
      <c r="B531" s="2">
        <v>529.0</v>
      </c>
      <c r="C531" s="2">
        <v>173.51584565134</v>
      </c>
      <c r="D531" s="2">
        <v>172.767881070274</v>
      </c>
      <c r="E531" s="2">
        <v>180.942207032882</v>
      </c>
      <c r="F531" s="2">
        <v>170.023732198952</v>
      </c>
      <c r="G531" s="2">
        <v>138.24045321381</v>
      </c>
      <c r="H531" s="2">
        <v>90.705885512392</v>
      </c>
      <c r="I531" s="2">
        <v>38.0837312068777</v>
      </c>
      <c r="J531" s="2">
        <v>1.71158153652425</v>
      </c>
      <c r="K531" s="2">
        <v>0.0</v>
      </c>
    </row>
    <row r="532">
      <c r="A532" s="2">
        <v>530.0</v>
      </c>
      <c r="B532" s="2">
        <v>530.0</v>
      </c>
      <c r="C532" s="2">
        <v>172.819450205342</v>
      </c>
      <c r="D532" s="2">
        <v>172.234750641345</v>
      </c>
      <c r="E532" s="2">
        <v>180.512770993498</v>
      </c>
      <c r="F532" s="2">
        <v>169.709149710703</v>
      </c>
      <c r="G532" s="2">
        <v>138.060208787359</v>
      </c>
      <c r="H532" s="2">
        <v>90.659433494553</v>
      </c>
      <c r="I532" s="2">
        <v>38.1337198879677</v>
      </c>
      <c r="J532" s="2">
        <v>1.74270984082558</v>
      </c>
      <c r="K532" s="2">
        <v>0.0</v>
      </c>
    </row>
    <row r="533">
      <c r="A533" s="2">
        <v>531.0</v>
      </c>
      <c r="B533" s="2">
        <v>531.0</v>
      </c>
      <c r="C533" s="2">
        <v>172.093877561343</v>
      </c>
      <c r="D533" s="2">
        <v>171.683808037798</v>
      </c>
      <c r="E533" s="2">
        <v>180.073387763813</v>
      </c>
      <c r="F533" s="2">
        <v>169.391326194111</v>
      </c>
      <c r="G533" s="2">
        <v>137.882556534115</v>
      </c>
      <c r="H533" s="2">
        <v>90.6196982289717</v>
      </c>
      <c r="I533" s="2">
        <v>38.1914761360855</v>
      </c>
      <c r="J533" s="2">
        <v>1.77657368055059</v>
      </c>
      <c r="K533" s="2">
        <v>0.0</v>
      </c>
    </row>
    <row r="534">
      <c r="A534" s="2">
        <v>532.0</v>
      </c>
      <c r="B534" s="2">
        <v>532.0</v>
      </c>
      <c r="C534" s="2">
        <v>171.33943170017</v>
      </c>
      <c r="D534" s="2">
        <v>171.115275949549</v>
      </c>
      <c r="E534" s="2">
        <v>179.624160450918</v>
      </c>
      <c r="F534" s="2">
        <v>169.070288390865</v>
      </c>
      <c r="G534" s="2">
        <v>137.707467159865</v>
      </c>
      <c r="H534" s="2">
        <v>90.5866212929428</v>
      </c>
      <c r="I534" s="2">
        <v>38.2569565318306</v>
      </c>
      <c r="J534" s="2">
        <v>1.81323093395278</v>
      </c>
      <c r="K534" s="2">
        <v>0.0</v>
      </c>
    </row>
    <row r="535">
      <c r="A535" s="2">
        <v>533.0</v>
      </c>
      <c r="B535" s="2">
        <v>533.0</v>
      </c>
      <c r="C535" s="2">
        <v>170.556425851791</v>
      </c>
      <c r="D535" s="2">
        <v>170.529383595736</v>
      </c>
      <c r="E535" s="2">
        <v>179.165193947354</v>
      </c>
      <c r="F535" s="2">
        <v>168.746062168147</v>
      </c>
      <c r="G535" s="2">
        <v>137.534908956126</v>
      </c>
      <c r="H535" s="2">
        <v>90.5601415682647</v>
      </c>
      <c r="I535" s="2">
        <v>38.3301164726962</v>
      </c>
      <c r="J535" s="2">
        <v>1.85274324248598</v>
      </c>
      <c r="K535" s="2">
        <v>0.0</v>
      </c>
    </row>
    <row r="536">
      <c r="A536" s="2">
        <v>534.0</v>
      </c>
      <c r="B536" s="2">
        <v>534.0</v>
      </c>
      <c r="C536" s="2">
        <v>169.745179196524</v>
      </c>
      <c r="D536" s="2">
        <v>169.926364547174</v>
      </c>
      <c r="E536" s="2">
        <v>178.696593803456</v>
      </c>
      <c r="F536" s="2">
        <v>168.41867219021</v>
      </c>
      <c r="G536" s="2">
        <v>137.36484813526</v>
      </c>
      <c r="H536" s="2">
        <v>90.5401960131573</v>
      </c>
      <c r="I536" s="2">
        <v>38.4109109871281</v>
      </c>
      <c r="J536" s="2">
        <v>1.8951761214401</v>
      </c>
      <c r="K536" s="2">
        <v>0.0</v>
      </c>
    </row>
    <row r="537">
      <c r="A537" s="2">
        <v>535.0</v>
      </c>
      <c r="B537" s="2">
        <v>535.0</v>
      </c>
      <c r="C537" s="2">
        <v>168.906020513762</v>
      </c>
      <c r="D537" s="2">
        <v>169.30645880813</v>
      </c>
      <c r="E537" s="2">
        <v>178.218467444694</v>
      </c>
      <c r="F537" s="2">
        <v>168.088142328073</v>
      </c>
      <c r="G537" s="2">
        <v>137.19724851875</v>
      </c>
      <c r="H537" s="2">
        <v>90.5267188213892</v>
      </c>
      <c r="I537" s="2">
        <v>38.4992937157975</v>
      </c>
      <c r="J537" s="2">
        <v>1.94059848641635</v>
      </c>
      <c r="K537" s="2">
        <v>0.0</v>
      </c>
    </row>
    <row r="538">
      <c r="A538" s="2">
        <v>536.0</v>
      </c>
      <c r="B538" s="2">
        <v>536.0</v>
      </c>
      <c r="C538" s="2">
        <v>168.039282927666</v>
      </c>
      <c r="D538" s="2">
        <v>168.669909492696</v>
      </c>
      <c r="E538" s="2">
        <v>177.730922487254</v>
      </c>
      <c r="F538" s="2">
        <v>167.754495254157</v>
      </c>
      <c r="G538" s="2">
        <v>137.032072189429</v>
      </c>
      <c r="H538" s="2">
        <v>90.5196427640055</v>
      </c>
      <c r="I538" s="2">
        <v>38.595218316356</v>
      </c>
      <c r="J538" s="2">
        <v>1.98908293857415</v>
      </c>
      <c r="K538" s="2">
        <v>0.0</v>
      </c>
    </row>
    <row r="539">
      <c r="A539" s="2">
        <v>537.0</v>
      </c>
      <c r="B539" s="2">
        <v>537.0</v>
      </c>
      <c r="C539" s="2">
        <v>167.145309503284</v>
      </c>
      <c r="D539" s="2">
        <v>168.016966023321</v>
      </c>
      <c r="E539" s="2">
        <v>177.234068488678</v>
      </c>
      <c r="F539" s="2">
        <v>167.417752908705</v>
      </c>
      <c r="G539" s="2">
        <v>136.869278845741</v>
      </c>
      <c r="H539" s="2">
        <v>90.5188977648457</v>
      </c>
      <c r="I539" s="2">
        <v>38.6986368407422</v>
      </c>
      <c r="J539" s="2">
        <v>2.04070508893513</v>
      </c>
      <c r="K539" s="2">
        <v>0.0</v>
      </c>
    </row>
    <row r="540">
      <c r="A540" s="2">
        <v>538.0</v>
      </c>
      <c r="B540" s="2">
        <v>538.0</v>
      </c>
      <c r="C540" s="2">
        <v>166.224448608182</v>
      </c>
      <c r="D540" s="2">
        <v>167.347881206237</v>
      </c>
      <c r="E540" s="2">
        <v>176.728015515779</v>
      </c>
      <c r="F540" s="2">
        <v>167.077936217344</v>
      </c>
      <c r="G540" s="2">
        <v>136.708826456442</v>
      </c>
      <c r="H540" s="2">
        <v>90.5244121506145</v>
      </c>
      <c r="I540" s="2">
        <v>38.809501009895</v>
      </c>
      <c r="J540" s="2">
        <v>2.0955437908984</v>
      </c>
      <c r="K540" s="2">
        <v>0.0</v>
      </c>
    </row>
    <row r="541">
      <c r="A541" s="2">
        <v>539.0</v>
      </c>
      <c r="B541" s="2">
        <v>539.0</v>
      </c>
      <c r="C541" s="2">
        <v>165.277055926989</v>
      </c>
      <c r="D541" s="2">
        <v>166.662912281919</v>
      </c>
      <c r="E541" s="2">
        <v>176.21287477931</v>
      </c>
      <c r="F541" s="2">
        <v>166.735065295192</v>
      </c>
      <c r="G541" s="2">
        <v>136.550671070452</v>
      </c>
      <c r="H541" s="2">
        <v>90.5361121624428</v>
      </c>
      <c r="I541" s="2">
        <v>38.9277616028854</v>
      </c>
      <c r="J541" s="2">
        <v>2.15368077060628</v>
      </c>
      <c r="K541" s="2">
        <v>0.0</v>
      </c>
    </row>
    <row r="542">
      <c r="A542" s="2">
        <v>540.0</v>
      </c>
      <c r="B542" s="2">
        <v>540.0</v>
      </c>
      <c r="C542" s="2">
        <v>164.303494397963</v>
      </c>
      <c r="D542" s="2">
        <v>165.962320718043</v>
      </c>
      <c r="E542" s="2">
        <v>175.688758599695</v>
      </c>
      <c r="F542" s="2">
        <v>166.389159471922</v>
      </c>
      <c r="G542" s="2">
        <v>136.394766863524</v>
      </c>
      <c r="H542" s="2">
        <v>90.553921987034</v>
      </c>
      <c r="I542" s="2">
        <v>39.0533684179243</v>
      </c>
      <c r="J542" s="2">
        <v>2.21520043186832</v>
      </c>
      <c r="K542" s="2">
        <v>0.0</v>
      </c>
    </row>
    <row r="543">
      <c r="A543" s="2">
        <v>541.0</v>
      </c>
      <c r="B543" s="2">
        <v>541.0</v>
      </c>
      <c r="C543" s="2">
        <v>163.304133127655</v>
      </c>
      <c r="D543" s="2">
        <v>165.24637138629</v>
      </c>
      <c r="E543" s="2">
        <v>175.155780041028</v>
      </c>
      <c r="F543" s="2">
        <v>166.040237225286</v>
      </c>
      <c r="G543" s="2">
        <v>136.241066298617</v>
      </c>
      <c r="H543" s="2">
        <v>90.5777640425577</v>
      </c>
      <c r="I543" s="2">
        <v>39.186270517207</v>
      </c>
      <c r="J543" s="2">
        <v>2.28018975358479</v>
      </c>
      <c r="K543" s="2">
        <v>0.0</v>
      </c>
    </row>
    <row r="544">
      <c r="A544" s="2">
        <v>542.0</v>
      </c>
      <c r="B544" s="2">
        <v>542.0</v>
      </c>
      <c r="C544" s="2">
        <v>162.279347957683</v>
      </c>
      <c r="D544" s="2">
        <v>164.515332775355</v>
      </c>
      <c r="E544" s="2">
        <v>174.614053154055</v>
      </c>
      <c r="F544" s="2">
        <v>165.688316355369</v>
      </c>
      <c r="G544" s="2">
        <v>136.089520198656</v>
      </c>
      <c r="H544" s="2">
        <v>90.6075589356267</v>
      </c>
      <c r="I544" s="2">
        <v>39.3264160668979</v>
      </c>
      <c r="J544" s="2">
        <v>2.34873804049575</v>
      </c>
      <c r="K544" s="2">
        <v>0.0</v>
      </c>
    </row>
    <row r="545">
      <c r="A545" s="2">
        <v>543.0</v>
      </c>
      <c r="B545" s="2">
        <v>543.0</v>
      </c>
      <c r="C545" s="2">
        <v>161.229520880212</v>
      </c>
      <c r="D545" s="2">
        <v>163.769476458785</v>
      </c>
      <c r="E545" s="2">
        <v>174.063692751598</v>
      </c>
      <c r="F545" s="2">
        <v>165.333413939343</v>
      </c>
      <c r="G545" s="2">
        <v>135.940077828689</v>
      </c>
      <c r="H545" s="2">
        <v>90.6432256042917</v>
      </c>
      <c r="I545" s="2">
        <v>39.4737524318056</v>
      </c>
      <c r="J545" s="2">
        <v>2.42093676472169</v>
      </c>
      <c r="K545" s="2">
        <v>0.0</v>
      </c>
    </row>
    <row r="546">
      <c r="A546" s="2">
        <v>544.0</v>
      </c>
      <c r="B546" s="2">
        <v>544.0</v>
      </c>
      <c r="C546" s="2">
        <v>160.155040992091</v>
      </c>
      <c r="D546" s="2">
        <v>163.009077487591</v>
      </c>
      <c r="E546" s="2">
        <v>173.504814683322</v>
      </c>
      <c r="F546" s="2">
        <v>164.975546427033</v>
      </c>
      <c r="G546" s="2">
        <v>135.792686810925</v>
      </c>
      <c r="H546" s="2">
        <v>90.6846810806491</v>
      </c>
      <c r="I546" s="2">
        <v>39.6282258423121</v>
      </c>
      <c r="J546" s="2">
        <v>2.49687925191587</v>
      </c>
      <c r="K546" s="2">
        <v>0.0</v>
      </c>
    </row>
    <row r="547">
      <c r="A547" s="2">
        <v>545.0</v>
      </c>
      <c r="B547" s="2">
        <v>545.0</v>
      </c>
      <c r="C547" s="2">
        <v>159.05630299824</v>
      </c>
      <c r="D547" s="2">
        <v>162.234413351755</v>
      </c>
      <c r="E547" s="2">
        <v>172.93753538878</v>
      </c>
      <c r="F547" s="2">
        <v>164.614729605873</v>
      </c>
      <c r="G547" s="2">
        <v>135.64729340295</v>
      </c>
      <c r="H547" s="2">
        <v>90.7318409427492</v>
      </c>
      <c r="I547" s="2">
        <v>39.7897817968325</v>
      </c>
      <c r="J547" s="2">
        <v>2.57666061727888</v>
      </c>
      <c r="K547" s="2">
        <v>0.0</v>
      </c>
    </row>
    <row r="548">
      <c r="A548" s="2">
        <v>546.0</v>
      </c>
      <c r="B548" s="2">
        <v>546.0</v>
      </c>
      <c r="C548" s="2">
        <v>157.933707233708</v>
      </c>
      <c r="D548" s="2">
        <v>161.445763846157</v>
      </c>
      <c r="E548" s="2">
        <v>172.361971923058</v>
      </c>
      <c r="F548" s="2">
        <v>164.250978679334</v>
      </c>
      <c r="G548" s="2">
        <v>135.503842585381</v>
      </c>
      <c r="H548" s="2">
        <v>90.7846193702752</v>
      </c>
      <c r="I548" s="2">
        <v>39.9583650308941</v>
      </c>
      <c r="J548" s="2">
        <v>2.66037755160934</v>
      </c>
      <c r="K548" s="2">
        <v>0.0</v>
      </c>
    </row>
    <row r="549">
      <c r="A549" s="2">
        <v>547.0</v>
      </c>
      <c r="B549" s="2">
        <v>547.0</v>
      </c>
      <c r="C549" s="2">
        <v>156.787661130947</v>
      </c>
      <c r="D549" s="2">
        <v>160.643411771638</v>
      </c>
      <c r="E549" s="2">
        <v>171.778242398443</v>
      </c>
      <c r="F549" s="2">
        <v>163.884308412713</v>
      </c>
      <c r="G549" s="2">
        <v>135.362277925614</v>
      </c>
      <c r="H549" s="2">
        <v>90.8429287840485</v>
      </c>
      <c r="I549" s="2">
        <v>40.1339190422525</v>
      </c>
      <c r="J549" s="2">
        <v>2.74812794128984</v>
      </c>
      <c r="K549" s="2">
        <v>0.0</v>
      </c>
    </row>
    <row r="550">
      <c r="A550" s="2">
        <v>548.0</v>
      </c>
      <c r="B550" s="2">
        <v>548.0</v>
      </c>
      <c r="C550" s="2">
        <v>155.618577188576</v>
      </c>
      <c r="D550" s="2">
        <v>159.827641559867</v>
      </c>
      <c r="E550" s="2">
        <v>171.186465321244</v>
      </c>
      <c r="F550" s="2">
        <v>163.514732998532</v>
      </c>
      <c r="G550" s="2">
        <v>135.222541865206</v>
      </c>
      <c r="H550" s="2">
        <v>90.9066803918425</v>
      </c>
      <c r="I550" s="2">
        <v>40.3163866225494</v>
      </c>
      <c r="J550" s="2">
        <v>2.84001085502364</v>
      </c>
      <c r="K550" s="2">
        <v>0.0</v>
      </c>
    </row>
    <row r="551">
      <c r="A551" s="2">
        <v>549.0</v>
      </c>
      <c r="B551" s="2">
        <v>549.0</v>
      </c>
      <c r="C551" s="2">
        <v>154.426873990482</v>
      </c>
      <c r="D551" s="2">
        <v>158.998739729083</v>
      </c>
      <c r="E551" s="2">
        <v>170.586759923164</v>
      </c>
      <c r="F551" s="2">
        <v>163.142266206478</v>
      </c>
      <c r="G551" s="2">
        <v>135.084575679999</v>
      </c>
      <c r="H551" s="2">
        <v>90.975783981077</v>
      </c>
      <c r="I551" s="2">
        <v>40.5057095370964</v>
      </c>
      <c r="J551" s="2">
        <v>2.9361262141511</v>
      </c>
      <c r="K551" s="2">
        <v>0.0</v>
      </c>
    </row>
    <row r="552">
      <c r="A552" s="2">
        <v>550.0</v>
      </c>
      <c r="B552" s="2">
        <v>550.0</v>
      </c>
      <c r="C552" s="2">
        <v>153.212975707996</v>
      </c>
      <c r="D552" s="2">
        <v>158.156994431899</v>
      </c>
      <c r="E552" s="2">
        <v>169.979245996535</v>
      </c>
      <c r="F552" s="2">
        <v>162.766921390922</v>
      </c>
      <c r="G552" s="2">
        <v>134.948319603153</v>
      </c>
      <c r="H552" s="2">
        <v>91.0501480874333</v>
      </c>
      <c r="I552" s="2">
        <v>40.7018286311463</v>
      </c>
      <c r="J552" s="2">
        <v>3.03657462078817</v>
      </c>
      <c r="K552" s="2">
        <v>0.0</v>
      </c>
    </row>
    <row r="553">
      <c r="A553" s="2">
        <v>551.0</v>
      </c>
      <c r="B553" s="2">
        <v>551.0</v>
      </c>
      <c r="C553" s="2">
        <v>151.977312589324</v>
      </c>
      <c r="D553" s="2">
        <v>157.302695585011</v>
      </c>
      <c r="E553" s="2">
        <v>169.364044033847</v>
      </c>
      <c r="F553" s="2">
        <v>162.388711569574</v>
      </c>
      <c r="G553" s="2">
        <v>134.813712820888</v>
      </c>
      <c r="H553" s="2">
        <v>91.1296799009867</v>
      </c>
      <c r="I553" s="2">
        <v>40.9046836468665</v>
      </c>
      <c r="J553" s="2">
        <v>3.14145707462787</v>
      </c>
      <c r="K553" s="2">
        <v>0.0</v>
      </c>
    </row>
    <row r="554">
      <c r="A554" s="2">
        <v>552.0</v>
      </c>
      <c r="B554" s="2">
        <v>552.0</v>
      </c>
      <c r="C554" s="2">
        <v>150.720319568266</v>
      </c>
      <c r="D554" s="2">
        <v>156.436133929279</v>
      </c>
      <c r="E554" s="2">
        <v>168.741274841326</v>
      </c>
      <c r="F554" s="2">
        <v>162.007649434696</v>
      </c>
      <c r="G554" s="2">
        <v>134.680693782696</v>
      </c>
      <c r="H554" s="2">
        <v>91.214285737193</v>
      </c>
      <c r="I554" s="2">
        <v>41.1142136396234</v>
      </c>
      <c r="J554" s="2">
        <v>3.25087491948187</v>
      </c>
      <c r="K554" s="2">
        <v>0.0</v>
      </c>
    </row>
    <row r="555">
      <c r="A555" s="2">
        <v>553.0</v>
      </c>
      <c r="B555" s="2">
        <v>553.0</v>
      </c>
      <c r="C555" s="2">
        <v>149.442437148102</v>
      </c>
      <c r="D555" s="2">
        <v>155.557601347195</v>
      </c>
      <c r="E555" s="2">
        <v>168.111059711578</v>
      </c>
      <c r="F555" s="2">
        <v>161.623747351709</v>
      </c>
      <c r="G555" s="2">
        <v>134.549200036901</v>
      </c>
      <c r="H555" s="2">
        <v>91.3038707466605</v>
      </c>
      <c r="I555" s="2">
        <v>41.3303566227474</v>
      </c>
      <c r="J555" s="2">
        <v>3.36492950508983</v>
      </c>
      <c r="K555" s="2">
        <v>0.0</v>
      </c>
    </row>
    <row r="556">
      <c r="A556" s="2">
        <v>554.0</v>
      </c>
      <c r="B556" s="2">
        <v>554.0</v>
      </c>
      <c r="C556" s="2">
        <v>148.144111992809</v>
      </c>
      <c r="D556" s="2">
        <v>154.667391099418</v>
      </c>
      <c r="E556" s="2">
        <v>167.473520670678</v>
      </c>
      <c r="F556" s="2">
        <v>161.237017541569</v>
      </c>
      <c r="G556" s="2">
        <v>134.41916831334</v>
      </c>
      <c r="H556" s="2">
        <v>91.3983388810351</v>
      </c>
      <c r="I556" s="2">
        <v>41.5530494131435</v>
      </c>
      <c r="J556" s="2">
        <v>3.48372190305546</v>
      </c>
      <c r="K556" s="2">
        <v>0.0</v>
      </c>
    </row>
    <row r="557">
      <c r="A557" s="2">
        <v>555.0</v>
      </c>
      <c r="B557" s="2">
        <v>555.0</v>
      </c>
      <c r="C557" s="2">
        <v>146.825795438484</v>
      </c>
      <c r="D557" s="2">
        <v>153.765796781433</v>
      </c>
      <c r="E557" s="2">
        <v>166.82877996097</v>
      </c>
      <c r="F557" s="2">
        <v>160.847471962001</v>
      </c>
      <c r="G557" s="2">
        <v>134.290534723523</v>
      </c>
      <c r="H557" s="2">
        <v>91.497593289374</v>
      </c>
      <c r="I557" s="2">
        <v>41.7822280178363</v>
      </c>
      <c r="J557" s="2">
        <v>3.6073528607203</v>
      </c>
      <c r="K557" s="2">
        <v>0.0</v>
      </c>
    </row>
    <row r="558">
      <c r="A558" s="2">
        <v>556.0</v>
      </c>
      <c r="B558" s="2">
        <v>556.0</v>
      </c>
      <c r="C558" s="2">
        <v>145.487943629699</v>
      </c>
      <c r="D558" s="2">
        <v>152.853112305193</v>
      </c>
      <c r="E558" s="2">
        <v>166.176960151383</v>
      </c>
      <c r="F558" s="2">
        <v>160.455122462286</v>
      </c>
      <c r="G558" s="2">
        <v>134.163234910327</v>
      </c>
      <c r="H558" s="2">
        <v>91.6015364170729</v>
      </c>
      <c r="I558" s="2">
        <v>42.0178276300676</v>
      </c>
      <c r="J558" s="2">
        <v>3.73592259032841</v>
      </c>
      <c r="K558" s="2">
        <v>0.0</v>
      </c>
    </row>
    <row r="559">
      <c r="A559" s="2">
        <v>557.0</v>
      </c>
      <c r="B559" s="2">
        <v>557.0</v>
      </c>
      <c r="C559" s="2">
        <v>144.13101883244</v>
      </c>
      <c r="D559" s="2">
        <v>151.929632444886</v>
      </c>
      <c r="E559" s="2">
        <v>165.518184396287</v>
      </c>
      <c r="F559" s="2">
        <v>160.059980759047</v>
      </c>
      <c r="G559" s="2">
        <v>134.037203774744</v>
      </c>
      <c r="H559" s="2">
        <v>91.7100695559805</v>
      </c>
      <c r="I559" s="2">
        <v>42.2597821173239</v>
      </c>
      <c r="J559" s="2">
        <v>3.86953036372991</v>
      </c>
      <c r="K559" s="2">
        <v>0.0</v>
      </c>
    </row>
    <row r="560">
      <c r="A560" s="2">
        <v>558.0</v>
      </c>
      <c r="B560" s="2">
        <v>558.0</v>
      </c>
      <c r="C560" s="2">
        <v>142.755487244388</v>
      </c>
      <c r="D560" s="2">
        <v>150.99565149987</v>
      </c>
      <c r="E560" s="2">
        <v>164.852575883464</v>
      </c>
      <c r="F560" s="2">
        <v>159.662058492521</v>
      </c>
      <c r="G560" s="2">
        <v>133.912376001872</v>
      </c>
      <c r="H560" s="2">
        <v>91.8230936367014</v>
      </c>
      <c r="I560" s="2">
        <v>42.5080247663385</v>
      </c>
      <c r="J560" s="2">
        <v>4.00827461605848</v>
      </c>
      <c r="K560" s="2">
        <v>0.0</v>
      </c>
    </row>
    <row r="561">
      <c r="A561" s="2">
        <v>559.0</v>
      </c>
      <c r="B561" s="2">
        <v>559.0</v>
      </c>
      <c r="C561" s="2">
        <v>141.361821278232</v>
      </c>
      <c r="D561" s="2">
        <v>150.051464409875</v>
      </c>
      <c r="E561" s="2">
        <v>164.180258395929</v>
      </c>
      <c r="F561" s="2">
        <v>159.26136727855</v>
      </c>
      <c r="G561" s="2">
        <v>133.78868566855</v>
      </c>
      <c r="H561" s="2">
        <v>91.94050852393</v>
      </c>
      <c r="I561" s="2">
        <v>42.7624874845109</v>
      </c>
      <c r="J561" s="2">
        <v>4.15225241910982</v>
      </c>
      <c r="K561" s="2">
        <v>0.0</v>
      </c>
    </row>
    <row r="562">
      <c r="A562" s="2">
        <v>560.0</v>
      </c>
      <c r="B562" s="2">
        <v>560.0</v>
      </c>
      <c r="C562" s="2">
        <v>139.950496948983</v>
      </c>
      <c r="D562" s="2">
        <v>149.097365192962</v>
      </c>
      <c r="E562" s="2">
        <v>163.501355649304</v>
      </c>
      <c r="F562" s="2">
        <v>158.857918759811</v>
      </c>
      <c r="G562" s="2">
        <v>133.666066853961</v>
      </c>
      <c r="H562" s="2">
        <v>92.062213953753</v>
      </c>
      <c r="I562" s="2">
        <v>43.0231017030918</v>
      </c>
      <c r="J562" s="2">
        <v>4.30155967001681</v>
      </c>
      <c r="K562" s="2">
        <v>0.0</v>
      </c>
    </row>
    <row r="563">
      <c r="A563" s="2">
        <v>561.0</v>
      </c>
      <c r="B563" s="2">
        <v>561.0</v>
      </c>
      <c r="C563" s="2">
        <v>138.521996578703</v>
      </c>
      <c r="D563" s="2">
        <v>148.133648280348</v>
      </c>
      <c r="E563" s="2">
        <v>162.815991938952</v>
      </c>
      <c r="F563" s="2">
        <v>158.451724634999</v>
      </c>
      <c r="G563" s="2">
        <v>133.54445313864</v>
      </c>
      <c r="H563" s="2">
        <v>92.1881086691296</v>
      </c>
      <c r="I563" s="2">
        <v>43.2897974202069</v>
      </c>
      <c r="J563" s="2">
        <v>4.45629049796724</v>
      </c>
      <c r="K563" s="2">
        <v>0.0</v>
      </c>
    </row>
    <row r="564">
      <c r="A564" s="2">
        <v>562.0</v>
      </c>
      <c r="B564" s="2">
        <v>562.0</v>
      </c>
      <c r="C564" s="2">
        <v>137.076806603222</v>
      </c>
      <c r="D564" s="2">
        <v>147.16060716502</v>
      </c>
      <c r="E564" s="2">
        <v>162.12429153717</v>
      </c>
      <c r="F564" s="2">
        <v>158.042796655925</v>
      </c>
      <c r="G564" s="2">
        <v>133.423778076666</v>
      </c>
      <c r="H564" s="2">
        <v>92.3180911758181</v>
      </c>
      <c r="I564" s="2">
        <v>43.5625039389582</v>
      </c>
      <c r="J564" s="2">
        <v>4.61653740316784</v>
      </c>
      <c r="K564" s="2">
        <v>0.0</v>
      </c>
    </row>
    <row r="565">
      <c r="A565" s="2">
        <v>563.0</v>
      </c>
      <c r="B565" s="2">
        <v>563.0</v>
      </c>
      <c r="C565" s="2">
        <v>135.615418579905</v>
      </c>
      <c r="D565" s="2">
        <v>146.178534846691</v>
      </c>
      <c r="E565" s="2">
        <v>161.426378974399</v>
      </c>
      <c r="F565" s="2">
        <v>157.631146730033</v>
      </c>
      <c r="G565" s="2">
        <v>133.303975119962</v>
      </c>
      <c r="H565" s="2">
        <v>92.4520595169911</v>
      </c>
      <c r="I565" s="2">
        <v>43.8411495527267</v>
      </c>
      <c r="J565" s="2">
        <v>4.78239094011558</v>
      </c>
      <c r="K565" s="2">
        <v>0.0</v>
      </c>
    </row>
    <row r="566">
      <c r="A566" s="2">
        <v>564.0</v>
      </c>
      <c r="B566" s="2">
        <v>564.0</v>
      </c>
      <c r="C566" s="2">
        <v>134.254734932445</v>
      </c>
      <c r="D566" s="2">
        <v>145.265743272669</v>
      </c>
      <c r="E566" s="2">
        <v>160.777811695096</v>
      </c>
      <c r="F566" s="2">
        <v>157.249383359923</v>
      </c>
      <c r="G566" s="2">
        <v>133.194283246099</v>
      </c>
      <c r="H566" s="2">
        <v>92.5789614953739</v>
      </c>
      <c r="I566" s="2">
        <v>44.1031366351285</v>
      </c>
      <c r="J566" s="2">
        <v>4.9402769599446</v>
      </c>
      <c r="K566" s="2">
        <v>0.0</v>
      </c>
    </row>
    <row r="567">
      <c r="A567" s="2">
        <v>565.0</v>
      </c>
      <c r="B567" s="2">
        <v>565.0</v>
      </c>
      <c r="C567" s="2">
        <v>132.881107234368</v>
      </c>
      <c r="D567" s="2">
        <v>144.345757262822</v>
      </c>
      <c r="E567" s="2">
        <v>160.124171762529</v>
      </c>
      <c r="F567" s="2">
        <v>156.865328058026</v>
      </c>
      <c r="G567" s="2">
        <v>133.085223593917</v>
      </c>
      <c r="H567" s="2">
        <v>92.709081720892</v>
      </c>
      <c r="I567" s="2">
        <v>44.3700488125653</v>
      </c>
      <c r="J567" s="2">
        <v>5.1030675174515</v>
      </c>
      <c r="K567" s="2">
        <v>0.0</v>
      </c>
    </row>
    <row r="568">
      <c r="A568" s="2">
        <v>566.0</v>
      </c>
      <c r="B568" s="2">
        <v>566.0</v>
      </c>
      <c r="C568" s="2">
        <v>131.494932387212</v>
      </c>
      <c r="D568" s="2">
        <v>143.418804756064</v>
      </c>
      <c r="E568" s="2">
        <v>159.465557225999</v>
      </c>
      <c r="F568" s="2">
        <v>156.478990600079</v>
      </c>
      <c r="G568" s="2">
        <v>132.976743950988</v>
      </c>
      <c r="H568" s="2">
        <v>92.8423393553585</v>
      </c>
      <c r="I568" s="2">
        <v>44.6418274602013</v>
      </c>
      <c r="J568" s="2">
        <v>5.27082827033605</v>
      </c>
      <c r="K568" s="2">
        <v>0.0</v>
      </c>
    </row>
    <row r="569">
      <c r="A569" s="2">
        <v>567.0</v>
      </c>
      <c r="B569" s="2">
        <v>567.0</v>
      </c>
      <c r="C569" s="2">
        <v>130.096608401932</v>
      </c>
      <c r="D569" s="2">
        <v>142.485111537545</v>
      </c>
      <c r="E569" s="2">
        <v>158.802065541696</v>
      </c>
      <c r="F569" s="2">
        <v>156.090380898314</v>
      </c>
      <c r="G569" s="2">
        <v>132.868792672786</v>
      </c>
      <c r="H569" s="2">
        <v>92.9786542145379</v>
      </c>
      <c r="I569" s="2">
        <v>44.9184141377442</v>
      </c>
      <c r="J569" s="2">
        <v>5.44362346076985</v>
      </c>
      <c r="K569" s="2">
        <v>0.0</v>
      </c>
    </row>
    <row r="570">
      <c r="A570" s="2">
        <v>568.0</v>
      </c>
      <c r="B570" s="2">
        <v>568.0</v>
      </c>
      <c r="C570" s="2">
        <v>128.686537988084</v>
      </c>
      <c r="D570" s="2">
        <v>141.544903116748</v>
      </c>
      <c r="E570" s="2">
        <v>158.133794493457</v>
      </c>
      <c r="F570" s="2">
        <v>155.699509080044</v>
      </c>
      <c r="G570" s="2">
        <v>132.761318042947</v>
      </c>
      <c r="H570" s="2">
        <v>93.1179456399397</v>
      </c>
      <c r="I570" s="2">
        <v>45.1997493507292</v>
      </c>
      <c r="J570" s="2">
        <v>5.62151523390605</v>
      </c>
      <c r="K570" s="2">
        <v>0.0</v>
      </c>
    </row>
    <row r="571">
      <c r="A571" s="2">
        <v>569.0</v>
      </c>
      <c r="B571" s="2">
        <v>569.0</v>
      </c>
      <c r="C571" s="2">
        <v>127.265127816155</v>
      </c>
      <c r="D571" s="2">
        <v>140.598404276753</v>
      </c>
      <c r="E571" s="2">
        <v>157.460842052138</v>
      </c>
      <c r="F571" s="2">
        <v>155.306385589858</v>
      </c>
      <c r="G571" s="2">
        <v>132.654268552968</v>
      </c>
      <c r="H571" s="2">
        <v>93.2601328660989</v>
      </c>
      <c r="I571" s="2">
        <v>45.4857728764751</v>
      </c>
      <c r="J571" s="2">
        <v>5.80456368472743</v>
      </c>
      <c r="K571" s="2">
        <v>0.0</v>
      </c>
    </row>
    <row r="572">
      <c r="A572" s="2">
        <v>570.0</v>
      </c>
      <c r="B572" s="2">
        <v>570.0</v>
      </c>
      <c r="C572" s="2">
        <v>125.832787118768</v>
      </c>
      <c r="D572" s="2">
        <v>139.645838126494</v>
      </c>
      <c r="E572" s="2">
        <v>156.783305814651</v>
      </c>
      <c r="F572" s="2">
        <v>154.911020977431</v>
      </c>
      <c r="G572" s="2">
        <v>132.547593000222</v>
      </c>
      <c r="H572" s="2">
        <v>93.4051353449946</v>
      </c>
      <c r="I572" s="2">
        <v>45.7764241581205</v>
      </c>
      <c r="J572" s="2">
        <v>5.99282698938777</v>
      </c>
      <c r="K572" s="2">
        <v>0.0</v>
      </c>
    </row>
    <row r="573">
      <c r="A573" s="2">
        <v>571.0</v>
      </c>
      <c r="B573" s="2">
        <v>571.0</v>
      </c>
      <c r="C573" s="2">
        <v>124.389929268832</v>
      </c>
      <c r="D573" s="2">
        <v>138.687426976555</v>
      </c>
      <c r="E573" s="2">
        <v>156.101283574424</v>
      </c>
      <c r="F573" s="2">
        <v>154.513426166361</v>
      </c>
      <c r="G573" s="2">
        <v>132.441240460982</v>
      </c>
      <c r="H573" s="2">
        <v>93.5528724739602</v>
      </c>
      <c r="I573" s="2">
        <v>46.0716419025367</v>
      </c>
      <c r="J573" s="2">
        <v>6.18636109944199</v>
      </c>
      <c r="K573" s="2">
        <v>0.0</v>
      </c>
    </row>
    <row r="574">
      <c r="A574" s="2">
        <v>572.0</v>
      </c>
      <c r="B574" s="2">
        <v>572.0</v>
      </c>
      <c r="C574" s="2">
        <v>122.936970442578</v>
      </c>
      <c r="D574" s="2">
        <v>137.72339144724</v>
      </c>
      <c r="E574" s="2">
        <v>155.414872812307</v>
      </c>
      <c r="F574" s="2">
        <v>154.113612289455</v>
      </c>
      <c r="G574" s="2">
        <v>132.335160427433</v>
      </c>
      <c r="H574" s="2">
        <v>93.7032639476457</v>
      </c>
      <c r="I574" s="2">
        <v>46.371364491194</v>
      </c>
      <c r="J574" s="2">
        <v>6.3852198900648</v>
      </c>
      <c r="K574" s="2">
        <v>0.0</v>
      </c>
    </row>
    <row r="575">
      <c r="A575" s="2">
        <v>573.0</v>
      </c>
      <c r="B575" s="2">
        <v>573.0</v>
      </c>
      <c r="C575" s="2">
        <v>121.474332026682</v>
      </c>
      <c r="D575" s="2">
        <v>136.753951777588</v>
      </c>
      <c r="E575" s="2">
        <v>154.724171462511</v>
      </c>
      <c r="F575" s="2">
        <v>153.7115909456</v>
      </c>
      <c r="G575" s="2">
        <v>132.229302595978</v>
      </c>
      <c r="H575" s="2">
        <v>93.8562291887521</v>
      </c>
      <c r="I575" s="2">
        <v>46.6755292639069</v>
      </c>
      <c r="J575" s="2">
        <v>6.58945469260775</v>
      </c>
      <c r="K575" s="2">
        <v>0.0</v>
      </c>
    </row>
    <row r="576">
      <c r="A576" s="2">
        <v>574.0</v>
      </c>
      <c r="B576" s="2">
        <v>574.0</v>
      </c>
      <c r="C576" s="2">
        <v>120.00243747221</v>
      </c>
      <c r="D576" s="2">
        <v>135.779325882398</v>
      </c>
      <c r="E576" s="2">
        <v>154.029276805921</v>
      </c>
      <c r="F576" s="2">
        <v>153.307373857789</v>
      </c>
      <c r="G576" s="2">
        <v>132.123617204435</v>
      </c>
      <c r="H576" s="2">
        <v>94.0116881783121</v>
      </c>
      <c r="I576" s="2">
        <v>46.9840735059478</v>
      </c>
      <c r="J576" s="2">
        <v>6.79911477217483</v>
      </c>
      <c r="K576" s="2">
        <v>0.0</v>
      </c>
    </row>
    <row r="577">
      <c r="A577" s="2">
        <v>575.0</v>
      </c>
      <c r="B577" s="2">
        <v>575.0</v>
      </c>
      <c r="C577" s="2">
        <v>118.521714794073</v>
      </c>
      <c r="D577" s="2">
        <v>134.799730754586</v>
      </c>
      <c r="E577" s="2">
        <v>153.330286337763</v>
      </c>
      <c r="F577" s="2">
        <v>152.900973230169</v>
      </c>
      <c r="G577" s="2">
        <v>132.018054906477</v>
      </c>
      <c r="H577" s="2">
        <v>94.1695609482761</v>
      </c>
      <c r="I577" s="2">
        <v>47.2969337648668</v>
      </c>
      <c r="J577" s="2">
        <v>7.01424687345751</v>
      </c>
      <c r="K577" s="2">
        <v>0.0</v>
      </c>
    </row>
    <row r="578">
      <c r="A578" s="2">
        <v>576.0</v>
      </c>
      <c r="B578" s="2">
        <v>576.0</v>
      </c>
      <c r="C578" s="2">
        <v>117.032596142364</v>
      </c>
      <c r="D578" s="2">
        <v>133.815382070301</v>
      </c>
      <c r="E578" s="2">
        <v>152.627297507613</v>
      </c>
      <c r="F578" s="2">
        <v>152.492401616777</v>
      </c>
      <c r="G578" s="2">
        <v>131.912566758778</v>
      </c>
      <c r="H578" s="2">
        <v>94.3297676595041</v>
      </c>
      <c r="I578" s="2">
        <v>47.6140459621097</v>
      </c>
      <c r="J578" s="2">
        <v>7.23489522997522</v>
      </c>
      <c r="K578" s="2">
        <v>0.0</v>
      </c>
    </row>
    <row r="579">
      <c r="A579" s="2">
        <v>577.0</v>
      </c>
      <c r="B579" s="2">
        <v>577.0</v>
      </c>
      <c r="C579" s="2">
        <v>115.535517053298</v>
      </c>
      <c r="D579" s="2">
        <v>132.826493666043</v>
      </c>
      <c r="E579" s="2">
        <v>151.920407450795</v>
      </c>
      <c r="F579" s="2">
        <v>152.081671880892</v>
      </c>
      <c r="G579" s="2">
        <v>131.807104371722</v>
      </c>
      <c r="H579" s="2">
        <v>94.4922288791781</v>
      </c>
      <c r="I579" s="2">
        <v>47.9353456908663</v>
      </c>
      <c r="J579" s="2">
        <v>7.46110167458669</v>
      </c>
      <c r="K579" s="2">
        <v>0.0</v>
      </c>
    </row>
    <row r="580">
      <c r="A580" s="2">
        <v>578.0</v>
      </c>
      <c r="B580" s="2">
        <v>578.0</v>
      </c>
      <c r="C580" s="2">
        <v>114.030917097218</v>
      </c>
      <c r="D580" s="2">
        <v>131.833277838271</v>
      </c>
      <c r="E580" s="2">
        <v>151.209713205479</v>
      </c>
      <c r="F580" s="2">
        <v>151.668797325098</v>
      </c>
      <c r="G580" s="2">
        <v>131.701619943337</v>
      </c>
      <c r="H580" s="2">
        <v>94.6568655244526</v>
      </c>
      <c r="I580" s="2">
        <v>48.2607680965969</v>
      </c>
      <c r="J580" s="2">
        <v>7.69290551265492</v>
      </c>
      <c r="K580" s="2">
        <v>0.0</v>
      </c>
    </row>
    <row r="581">
      <c r="A581" s="2">
        <v>579.0</v>
      </c>
      <c r="B581" s="2">
        <v>579.0</v>
      </c>
      <c r="C581" s="2">
        <v>112.519239991494</v>
      </c>
      <c r="D581" s="2">
        <v>130.83594528037</v>
      </c>
      <c r="E581" s="2">
        <v>150.495311666148</v>
      </c>
      <c r="F581" s="2">
        <v>151.253791662933</v>
      </c>
      <c r="G581" s="2">
        <v>131.596066244761</v>
      </c>
      <c r="H581" s="2">
        <v>94.8235988555972</v>
      </c>
      <c r="I581" s="2">
        <v>48.5902478669867</v>
      </c>
      <c r="J581" s="2">
        <v>7.93034347459448</v>
      </c>
      <c r="K581" s="2">
        <v>0.0</v>
      </c>
    </row>
    <row r="582">
      <c r="A582" s="2">
        <v>580.0</v>
      </c>
      <c r="B582" s="2">
        <v>580.0</v>
      </c>
      <c r="C582" s="2">
        <v>111.000933724644</v>
      </c>
      <c r="D582" s="2">
        <v>129.834705022266</v>
      </c>
      <c r="E582" s="2">
        <v>149.777299537666</v>
      </c>
      <c r="F582" s="2">
        <v>150.836668990131</v>
      </c>
      <c r="G582" s="2">
        <v>131.490396604839</v>
      </c>
      <c r="H582" s="2">
        <v>94.992350468395</v>
      </c>
      <c r="I582" s="2">
        <v>48.9237192221587</v>
      </c>
      <c r="J582" s="2">
        <v>8.17344967234009</v>
      </c>
      <c r="K582" s="2">
        <v>0.0</v>
      </c>
    </row>
    <row r="583">
      <c r="A583" s="2">
        <v>581.0</v>
      </c>
      <c r="B583" s="2">
        <v>581.0</v>
      </c>
      <c r="C583" s="2">
        <v>109.476451215754</v>
      </c>
      <c r="D583" s="2">
        <v>128.829764725528</v>
      </c>
      <c r="E583" s="2">
        <v>149.055773551303</v>
      </c>
      <c r="F583" s="2">
        <v>150.41744391618</v>
      </c>
      <c r="G583" s="2">
        <v>131.384564947329</v>
      </c>
      <c r="H583" s="2">
        <v>95.1630422418581</v>
      </c>
      <c r="I583" s="2">
        <v>49.2611157990102</v>
      </c>
      <c r="J583" s="2">
        <v>8.42225547706722</v>
      </c>
      <c r="K583" s="2">
        <v>0.0</v>
      </c>
    </row>
    <row r="584">
      <c r="A584" s="2">
        <v>582.0</v>
      </c>
      <c r="B584" s="2">
        <v>582.0</v>
      </c>
      <c r="C584" s="2">
        <v>107.946248298596</v>
      </c>
      <c r="D584" s="2">
        <v>127.821329400033</v>
      </c>
      <c r="E584" s="2">
        <v>148.330829735476</v>
      </c>
      <c r="F584" s="2">
        <v>149.996131360293</v>
      </c>
      <c r="G584" s="2">
        <v>131.278526056927</v>
      </c>
      <c r="H584" s="2">
        <v>95.3355969483917</v>
      </c>
      <c r="I584" s="2">
        <v>49.6023713801679</v>
      </c>
      <c r="J584" s="2">
        <v>8.67678993244023</v>
      </c>
      <c r="K584" s="2">
        <v>0.0</v>
      </c>
    </row>
    <row r="585">
      <c r="A585" s="2">
        <v>583.0</v>
      </c>
      <c r="B585" s="2">
        <v>583.0</v>
      </c>
      <c r="C585" s="2">
        <v>106.410787375664</v>
      </c>
      <c r="D585" s="2">
        <v>126.809603354917</v>
      </c>
      <c r="E585" s="2">
        <v>147.602564512311</v>
      </c>
      <c r="F585" s="2">
        <v>149.572746848064</v>
      </c>
      <c r="G585" s="2">
        <v>131.172235151627</v>
      </c>
      <c r="H585" s="2">
        <v>95.5099372869757</v>
      </c>
      <c r="I585" s="2">
        <v>49.947418724721</v>
      </c>
      <c r="J585" s="2">
        <v>8.93707901392686</v>
      </c>
      <c r="K585" s="2">
        <v>0.0</v>
      </c>
    </row>
    <row r="586">
      <c r="A586" s="2">
        <v>584.0</v>
      </c>
      <c r="B586" s="2">
        <v>584.0</v>
      </c>
      <c r="C586" s="2">
        <v>104.870534210607</v>
      </c>
      <c r="D586" s="2">
        <v>125.794788272597</v>
      </c>
      <c r="E586" s="2">
        <v>146.871073658268</v>
      </c>
      <c r="F586" s="2">
        <v>149.147306300768</v>
      </c>
      <c r="G586" s="2">
        <v>131.065648402565</v>
      </c>
      <c r="H586" s="2">
        <v>95.6859869254129</v>
      </c>
      <c r="I586" s="2">
        <v>50.2961907738044</v>
      </c>
      <c r="J586" s="2">
        <v>9.20314632927186</v>
      </c>
      <c r="K586" s="2">
        <v>0.0</v>
      </c>
    </row>
    <row r="587">
      <c r="A587" s="2">
        <v>585.0</v>
      </c>
      <c r="B587" s="2">
        <v>585.0</v>
      </c>
      <c r="C587" s="2">
        <v>103.325960213808</v>
      </c>
      <c r="D587" s="2">
        <v>124.777084316111</v>
      </c>
      <c r="E587" s="2">
        <v>146.136452866344</v>
      </c>
      <c r="F587" s="2">
        <v>148.719826102325</v>
      </c>
      <c r="G587" s="2">
        <v>130.958722566884</v>
      </c>
      <c r="H587" s="2">
        <v>95.8636698257085</v>
      </c>
      <c r="I587" s="2">
        <v>50.6486198833511</v>
      </c>
      <c r="J587" s="2">
        <v>9.47501264290409</v>
      </c>
      <c r="K587" s="2">
        <v>0.0</v>
      </c>
    </row>
    <row r="588">
      <c r="A588" s="2">
        <v>586.0</v>
      </c>
      <c r="B588" s="2">
        <v>586.0</v>
      </c>
      <c r="C588" s="2">
        <v>101.777541468071</v>
      </c>
      <c r="D588" s="2">
        <v>123.756689479132</v>
      </c>
      <c r="E588" s="2">
        <v>145.398797439257</v>
      </c>
      <c r="F588" s="2">
        <v>148.290323109133</v>
      </c>
      <c r="G588" s="2">
        <v>130.851415264182</v>
      </c>
      <c r="H588" s="2">
        <v>96.0429106970229</v>
      </c>
      <c r="I588" s="2">
        <v>51.0046383111759</v>
      </c>
      <c r="J588" s="2">
        <v>9.75269614572609</v>
      </c>
      <c r="K588" s="2">
        <v>0.0</v>
      </c>
    </row>
    <row r="589">
      <c r="A589" s="2">
        <v>587.0</v>
      </c>
      <c r="B589" s="2">
        <v>587.0</v>
      </c>
      <c r="C589" s="2">
        <v>100.225759830789</v>
      </c>
      <c r="D589" s="2">
        <v>122.733800063968</v>
      </c>
      <c r="E589" s="2">
        <v>144.658202565103</v>
      </c>
      <c r="F589" s="2">
        <v>147.858814737824</v>
      </c>
      <c r="G589" s="2">
        <v>130.743684889304</v>
      </c>
      <c r="H589" s="2">
        <v>96.2236347730725</v>
      </c>
      <c r="I589" s="2">
        <v>51.3641779358992</v>
      </c>
      <c r="J589" s="2">
        <v>10.0362122617069</v>
      </c>
      <c r="K589" s="2">
        <v>0.0</v>
      </c>
    </row>
    <row r="590">
      <c r="A590" s="2">
        <v>588.0</v>
      </c>
      <c r="B590" s="2">
        <v>588.0</v>
      </c>
      <c r="C590" s="2">
        <v>98.6711027399922</v>
      </c>
      <c r="D590" s="2">
        <v>121.70861039263</v>
      </c>
      <c r="E590" s="2">
        <v>143.914763134377</v>
      </c>
      <c r="F590" s="2">
        <v>147.4253188939</v>
      </c>
      <c r="G590" s="2">
        <v>130.635490644074</v>
      </c>
      <c r="H590" s="2">
        <v>96.4057679227249</v>
      </c>
      <c r="I590" s="2">
        <v>51.727170400732</v>
      </c>
      <c r="J590" s="2">
        <v>10.3255737335724</v>
      </c>
      <c r="K590" s="2">
        <v>0.0</v>
      </c>
    </row>
    <row r="591">
      <c r="A591" s="2">
        <v>589.0</v>
      </c>
      <c r="B591" s="2">
        <v>589.0</v>
      </c>
      <c r="C591" s="2">
        <v>97.1140630522094</v>
      </c>
      <c r="D591" s="2">
        <v>120.681312526013</v>
      </c>
      <c r="E591" s="2">
        <v>143.16857355775</v>
      </c>
      <c r="F591" s="2">
        <v>146.989853897309</v>
      </c>
      <c r="G591" s="2">
        <v>130.526792564314</v>
      </c>
      <c r="H591" s="2">
        <v>96.589236756508</v>
      </c>
      <c r="I591" s="2">
        <v>52.0935472568267</v>
      </c>
      <c r="J591" s="2">
        <v>10.6207907181291</v>
      </c>
      <c r="K591" s="2">
        <v>0.0</v>
      </c>
    </row>
    <row r="592">
      <c r="A592" s="2">
        <v>590.0</v>
      </c>
      <c r="B592" s="2">
        <v>590.0</v>
      </c>
      <c r="C592" s="2">
        <v>95.5551407131446</v>
      </c>
      <c r="D592" s="2">
        <v>119.652097119972</v>
      </c>
      <c r="E592" s="2">
        <v>142.419728348775</v>
      </c>
      <c r="F592" s="2">
        <v>146.552438785153</v>
      </c>
      <c r="G592" s="2">
        <v>130.417551538866</v>
      </c>
      <c r="H592" s="2">
        <v>96.7739684019886</v>
      </c>
      <c r="I592" s="2">
        <v>52.4632395990849</v>
      </c>
      <c r="J592" s="2">
        <v>10.9218705094718</v>
      </c>
      <c r="K592" s="2">
        <v>0.0</v>
      </c>
    </row>
    <row r="593">
      <c r="A593" s="2">
        <v>591.0</v>
      </c>
      <c r="B593" s="2">
        <v>591.0</v>
      </c>
      <c r="C593" s="2">
        <v>93.9948412484</v>
      </c>
      <c r="D593" s="2">
        <v>118.621152267114</v>
      </c>
      <c r="E593" s="2">
        <v>141.668321336603</v>
      </c>
      <c r="F593" s="2">
        <v>146.113092921511</v>
      </c>
      <c r="G593" s="2">
        <v>130.307729313519</v>
      </c>
      <c r="H593" s="2">
        <v>96.9598908379687</v>
      </c>
      <c r="I593" s="2">
        <v>52.8361785813926</v>
      </c>
      <c r="J593" s="2">
        <v>11.2288179201972</v>
      </c>
      <c r="K593" s="2">
        <v>0.0</v>
      </c>
    </row>
    <row r="594">
      <c r="A594" s="2">
        <v>592.0</v>
      </c>
      <c r="B594" s="2">
        <v>592.0</v>
      </c>
      <c r="C594" s="2">
        <v>92.433676262253</v>
      </c>
      <c r="D594" s="2">
        <v>117.588663670456</v>
      </c>
      <c r="E594" s="2">
        <v>140.914445863419</v>
      </c>
      <c r="F594" s="2">
        <v>145.671836205144</v>
      </c>
      <c r="G594" s="2">
        <v>130.197288680448</v>
      </c>
      <c r="H594" s="2">
        <v>97.1469330399919</v>
      </c>
      <c r="I594" s="2">
        <v>53.2122955032293</v>
      </c>
      <c r="J594" s="2">
        <v>11.5416353173517</v>
      </c>
      <c r="K594" s="2">
        <v>0.0</v>
      </c>
    </row>
    <row r="595">
      <c r="A595" s="2">
        <v>593.0</v>
      </c>
      <c r="B595" s="2">
        <v>593.0</v>
      </c>
      <c r="C595" s="2">
        <v>90.8721662119056</v>
      </c>
      <c r="D595" s="2">
        <v>116.554815991085</v>
      </c>
      <c r="E595" s="2">
        <v>140.158195530927</v>
      </c>
      <c r="F595" s="2">
        <v>145.228689242216</v>
      </c>
      <c r="G595" s="2">
        <v>130.086193129028</v>
      </c>
      <c r="H595" s="2">
        <v>97.3350242412915</v>
      </c>
      <c r="I595" s="2">
        <v>53.5915209194757</v>
      </c>
      <c r="J595" s="2">
        <v>11.8603220246071</v>
      </c>
      <c r="K595" s="2">
        <v>0.0</v>
      </c>
    </row>
    <row r="596">
      <c r="A596" s="2">
        <v>594.0</v>
      </c>
      <c r="B596" s="2">
        <v>594.0</v>
      </c>
      <c r="C596" s="2">
        <v>89.3108375050278</v>
      </c>
      <c r="D596" s="2">
        <v>115.519790950307</v>
      </c>
      <c r="E596" s="2">
        <v>139.399663087366</v>
      </c>
      <c r="F596" s="2">
        <v>144.783673016208</v>
      </c>
      <c r="G596" s="2">
        <v>129.974407239517</v>
      </c>
      <c r="H596" s="2">
        <v>97.5240948795341</v>
      </c>
      <c r="I596" s="2">
        <v>53.9737858230606</v>
      </c>
      <c r="J596" s="2">
        <v>12.1848751465813</v>
      </c>
      <c r="K596" s="2">
        <v>0.0</v>
      </c>
    </row>
    <row r="597">
      <c r="A597" s="2">
        <v>595.0</v>
      </c>
      <c r="B597" s="2">
        <v>595.0</v>
      </c>
      <c r="C597" s="2">
        <v>87.7502249682527</v>
      </c>
      <c r="D597" s="2">
        <v>114.483768507634</v>
      </c>
      <c r="E597" s="2">
        <v>138.638941110921</v>
      </c>
      <c r="F597" s="2">
        <v>144.336809094446</v>
      </c>
      <c r="G597" s="2">
        <v>129.861896448004</v>
      </c>
      <c r="H597" s="2">
        <v>97.714076023342</v>
      </c>
      <c r="I597" s="2">
        <v>54.3590209286051</v>
      </c>
      <c r="J597" s="2">
        <v>12.5152890846752</v>
      </c>
      <c r="K597" s="2">
        <v>0.0</v>
      </c>
    </row>
    <row r="598">
      <c r="A598" s="2">
        <v>596.0</v>
      </c>
      <c r="B598" s="2">
        <v>596.0</v>
      </c>
      <c r="C598" s="2">
        <v>86.1908711121979</v>
      </c>
      <c r="D598" s="2">
        <v>113.446926205882</v>
      </c>
      <c r="E598" s="2">
        <v>137.876121650037</v>
      </c>
      <c r="F598" s="2">
        <v>143.888119565049</v>
      </c>
      <c r="G598" s="2">
        <v>129.748627250865</v>
      </c>
      <c r="H598" s="2">
        <v>97.9048997737404</v>
      </c>
      <c r="I598" s="2">
        <v>54.7471571494075</v>
      </c>
      <c r="J598" s="2">
        <v>12.851555876307</v>
      </c>
      <c r="K598" s="2">
        <v>0.0</v>
      </c>
    </row>
    <row r="599">
      <c r="A599" s="2">
        <v>597.0</v>
      </c>
      <c r="B599" s="2">
        <v>597.0</v>
      </c>
      <c r="C599" s="2">
        <v>84.6333281646976</v>
      </c>
      <c r="D599" s="2">
        <v>112.409440041212</v>
      </c>
      <c r="E599" s="2">
        <v>137.111296697628</v>
      </c>
      <c r="F599" s="2">
        <v>143.437627134635</v>
      </c>
      <c r="G599" s="2">
        <v>129.634566960712</v>
      </c>
      <c r="H599" s="2">
        <v>98.0964987658229</v>
      </c>
      <c r="I599" s="2">
        <v>55.1381250021438</v>
      </c>
      <c r="J599" s="2">
        <v>13.1936647952729</v>
      </c>
      <c r="K599" s="2">
        <v>0.0</v>
      </c>
    </row>
    <row r="600">
      <c r="A600" s="2">
        <v>598.0</v>
      </c>
      <c r="B600" s="2">
        <v>598.0</v>
      </c>
      <c r="C600" s="2">
        <v>83.0781558282936</v>
      </c>
      <c r="D600" s="2">
        <v>111.371482896309</v>
      </c>
      <c r="E600" s="2">
        <v>136.344557286197</v>
      </c>
      <c r="F600" s="2">
        <v>142.985354893599</v>
      </c>
      <c r="G600" s="2">
        <v>129.519684091557</v>
      </c>
      <c r="H600" s="2">
        <v>98.2888070270747</v>
      </c>
      <c r="I600" s="2">
        <v>55.5318556699034</v>
      </c>
      <c r="J600" s="2">
        <v>13.5416031300178</v>
      </c>
      <c r="K600" s="2">
        <v>0.0</v>
      </c>
    </row>
    <row r="601">
      <c r="A601" s="2">
        <v>599.0</v>
      </c>
      <c r="B601" s="2">
        <v>599.0</v>
      </c>
      <c r="C601" s="2">
        <v>81.5259253794699</v>
      </c>
      <c r="D601" s="2">
        <v>110.333226595138</v>
      </c>
      <c r="E601" s="2">
        <v>135.575994690557</v>
      </c>
      <c r="F601" s="2">
        <v>142.531326673999</v>
      </c>
      <c r="G601" s="2">
        <v>129.403947928614</v>
      </c>
      <c r="H601" s="2">
        <v>98.4817589382423</v>
      </c>
      <c r="I601" s="2">
        <v>55.9282796945474</v>
      </c>
      <c r="J601" s="2">
        <v>13.8953552538005</v>
      </c>
      <c r="K601" s="2">
        <v>0.0</v>
      </c>
    </row>
    <row r="602">
      <c r="A602" s="2">
        <v>600.0</v>
      </c>
      <c r="B602" s="2">
        <v>600.0</v>
      </c>
      <c r="C602" s="2">
        <v>79.9772170909486</v>
      </c>
      <c r="D602" s="2">
        <v>109.294840074817</v>
      </c>
      <c r="E602" s="2">
        <v>134.805699338613</v>
      </c>
      <c r="F602" s="2">
        <v>142.07556671856</v>
      </c>
      <c r="G602" s="2">
        <v>129.287328909091</v>
      </c>
      <c r="H602" s="2">
        <v>98.6752901684278</v>
      </c>
      <c r="I602" s="2">
        <v>56.3273281675126</v>
      </c>
      <c r="J602" s="2">
        <v>14.2549035177071</v>
      </c>
      <c r="K602" s="2">
        <v>0.0</v>
      </c>
    </row>
    <row r="603">
      <c r="A603" s="2">
        <v>601.0</v>
      </c>
      <c r="B603" s="2">
        <v>601.0</v>
      </c>
      <c r="C603" s="2">
        <v>78.4326224385088</v>
      </c>
      <c r="D603" s="2">
        <v>108.256490310767</v>
      </c>
      <c r="E603" s="2">
        <v>134.033761356427</v>
      </c>
      <c r="F603" s="2">
        <v>141.618099853494</v>
      </c>
      <c r="G603" s="2">
        <v>129.16979844663</v>
      </c>
      <c r="H603" s="2">
        <v>98.8693372290582</v>
      </c>
      <c r="I603" s="2">
        <v>56.7289321643209</v>
      </c>
      <c r="J603" s="2">
        <v>14.6202278596986</v>
      </c>
      <c r="K603" s="2">
        <v>0.0</v>
      </c>
    </row>
    <row r="604">
      <c r="A604" s="2">
        <v>602.0</v>
      </c>
      <c r="B604" s="2">
        <v>602.0</v>
      </c>
      <c r="C604" s="2">
        <v>76.8927443769856</v>
      </c>
      <c r="D604" s="2">
        <v>107.218342095977</v>
      </c>
      <c r="E604" s="2">
        <v>133.26027043198</v>
      </c>
      <c r="F604" s="2">
        <v>141.158951450083</v>
      </c>
      <c r="G604" s="2">
        <v>129.051328986015</v>
      </c>
      <c r="H604" s="2">
        <v>99.0638376022732</v>
      </c>
      <c r="I604" s="2">
        <v>57.1330229112244</v>
      </c>
      <c r="J604" s="2">
        <v>14.9913059524448</v>
      </c>
      <c r="K604" s="2">
        <v>0.0</v>
      </c>
    </row>
    <row r="605">
      <c r="A605" s="2">
        <v>603.0</v>
      </c>
      <c r="B605" s="2">
        <v>603.0</v>
      </c>
      <c r="C605" s="2">
        <v>75.358197680964</v>
      </c>
      <c r="D605" s="2">
        <v>106.180557826368</v>
      </c>
      <c r="E605" s="2">
        <v>132.485315678801</v>
      </c>
      <c r="F605" s="2">
        <v>140.698147382855</v>
      </c>
      <c r="G605" s="2">
        <v>128.93189405326</v>
      </c>
      <c r="H605" s="2">
        <v>99.2587298655593</v>
      </c>
      <c r="I605" s="2">
        <v>57.5395319515403</v>
      </c>
      <c r="J605" s="2">
        <v>15.3681133592232</v>
      </c>
      <c r="K605" s="2">
        <v>0.0</v>
      </c>
    </row>
    <row r="606">
      <c r="A606" s="2">
        <v>604.0</v>
      </c>
      <c r="B606" s="2">
        <v>604.0</v>
      </c>
      <c r="C606" s="2">
        <v>73.8296108268616</v>
      </c>
      <c r="D606" s="2">
        <v>105.143298145463</v>
      </c>
      <c r="E606" s="2">
        <v>131.708985997431</v>
      </c>
      <c r="F606" s="2">
        <v>140.235714116375</v>
      </c>
      <c r="G606" s="2">
        <v>128.811468089211</v>
      </c>
      <c r="H606" s="2">
        <v>99.453953333213</v>
      </c>
      <c r="I606" s="2">
        <v>57.9483907083332</v>
      </c>
      <c r="J606" s="2">
        <v>15.7506232340895</v>
      </c>
      <c r="K606" s="2">
        <v>0.0</v>
      </c>
    </row>
    <row r="607">
      <c r="A607" s="2">
        <v>605.0</v>
      </c>
      <c r="B607" s="2">
        <v>605.0</v>
      </c>
      <c r="C607" s="2">
        <v>72.3076257118631</v>
      </c>
      <c r="D607" s="2">
        <v>104.106721335531</v>
      </c>
      <c r="E607" s="2">
        <v>130.93136973635</v>
      </c>
      <c r="F607" s="2">
        <v>139.771678648603</v>
      </c>
      <c r="G607" s="2">
        <v>128.690026653453</v>
      </c>
      <c r="H607" s="2">
        <v>99.6494484578102</v>
      </c>
      <c r="I607" s="2">
        <v>58.3595309731148</v>
      </c>
      <c r="J607" s="2">
        <v>16.1388067115212</v>
      </c>
      <c r="K607" s="2">
        <v>0.0</v>
      </c>
    </row>
    <row r="608">
      <c r="A608" s="2">
        <v>606.0</v>
      </c>
      <c r="B608" s="2">
        <v>606.0</v>
      </c>
      <c r="C608" s="2">
        <v>70.7928981597528</v>
      </c>
      <c r="D608" s="2">
        <v>103.070983074176</v>
      </c>
      <c r="E608" s="2">
        <v>130.152554508639</v>
      </c>
      <c r="F608" s="2">
        <v>139.306068414261</v>
      </c>
      <c r="G608" s="2">
        <v>128.567546421926</v>
      </c>
      <c r="H608" s="2">
        <v>99.8451569142069</v>
      </c>
      <c r="I608" s="2">
        <v>58.7728850515811</v>
      </c>
      <c r="J608" s="2">
        <v>16.5326330695914</v>
      </c>
      <c r="K608" s="2">
        <v>0.0</v>
      </c>
    </row>
    <row r="609">
      <c r="A609" s="2">
        <v>607.0</v>
      </c>
      <c r="B609" s="2">
        <v>607.0</v>
      </c>
      <c r="C609" s="2">
        <v>69.2861007246734</v>
      </c>
      <c r="D609" s="2">
        <v>102.036237552397</v>
      </c>
      <c r="E609" s="2">
        <v>129.372627871375</v>
      </c>
      <c r="F609" s="2">
        <v>138.838911514824</v>
      </c>
      <c r="G609" s="2">
        <v>128.444004987336</v>
      </c>
      <c r="H609" s="2">
        <v>100.041021058019</v>
      </c>
      <c r="I609" s="2">
        <v>59.1883850562832</v>
      </c>
      <c r="J609" s="2">
        <v>16.9320692001862</v>
      </c>
      <c r="K609" s="2">
        <v>0.0</v>
      </c>
    </row>
    <row r="610">
      <c r="A610" s="2">
        <v>608.0</v>
      </c>
      <c r="B610" s="2">
        <v>608.0</v>
      </c>
      <c r="C610" s="2">
        <v>67.7879211593608</v>
      </c>
      <c r="D610" s="2">
        <v>101.002635975609</v>
      </c>
      <c r="E610" s="2">
        <v>128.591676417978</v>
      </c>
      <c r="F610" s="2">
        <v>138.37023644447</v>
      </c>
      <c r="G610" s="2">
        <v>128.31938119193</v>
      </c>
      <c r="H610" s="2">
        <v>100.23698474196</v>
      </c>
      <c r="I610" s="2">
        <v>59.6059639670435</v>
      </c>
      <c r="J610" s="2">
        <v>17.3370804788287</v>
      </c>
      <c r="K610" s="2">
        <v>0.0</v>
      </c>
    </row>
    <row r="611">
      <c r="A611" s="2">
        <v>609.0</v>
      </c>
      <c r="B611" s="2">
        <v>609.0</v>
      </c>
      <c r="C611" s="2">
        <v>66.2990663862719</v>
      </c>
      <c r="D611" s="2">
        <v>99.9703282623241</v>
      </c>
      <c r="E611" s="2">
        <v>127.809786773291</v>
      </c>
      <c r="F611" s="2">
        <v>137.900072363874</v>
      </c>
      <c r="G611" s="2">
        <v>128.19365472116</v>
      </c>
      <c r="H611" s="2">
        <v>100.432992378306</v>
      </c>
      <c r="I611" s="2">
        <v>60.0255544466461</v>
      </c>
      <c r="J611" s="2">
        <v>17.7476298665456</v>
      </c>
      <c r="K611" s="2">
        <v>0.0</v>
      </c>
    </row>
    <row r="612">
      <c r="A612" s="2">
        <v>610.0</v>
      </c>
      <c r="B612" s="2">
        <v>610.0</v>
      </c>
      <c r="C612" s="2">
        <v>64.820260805502</v>
      </c>
      <c r="D612" s="2">
        <v>98.9394613383945</v>
      </c>
      <c r="E612" s="2">
        <v>127.027044550295</v>
      </c>
      <c r="F612" s="2">
        <v>137.428448772839</v>
      </c>
      <c r="G612" s="2">
        <v>128.066806466605</v>
      </c>
      <c r="H612" s="2">
        <v>100.628989856328</v>
      </c>
      <c r="I612" s="2">
        <v>60.4470900446697</v>
      </c>
      <c r="J612" s="2">
        <v>18.1636789107932</v>
      </c>
      <c r="K612" s="2">
        <v>0.0</v>
      </c>
    </row>
    <row r="613">
      <c r="A613" s="2">
        <v>611.0</v>
      </c>
      <c r="B613" s="2">
        <v>611.0</v>
      </c>
      <c r="C613" s="2">
        <v>63.35224974367</v>
      </c>
      <c r="D613" s="2">
        <v>97.9101804787039</v>
      </c>
      <c r="E613" s="2">
        <v>126.243535186817</v>
      </c>
      <c r="F613" s="2">
        <v>136.955395816112</v>
      </c>
      <c r="G613" s="2">
        <v>127.938818316787</v>
      </c>
      <c r="H613" s="2">
        <v>100.824923915926</v>
      </c>
      <c r="I613" s="2">
        <v>60.8705043573993</v>
      </c>
      <c r="J613" s="2">
        <v>18.5851870912155</v>
      </c>
      <c r="K613" s="2">
        <v>0.0</v>
      </c>
    </row>
    <row r="614">
      <c r="A614" s="2">
        <v>612.0</v>
      </c>
      <c r="B614" s="2">
        <v>612.0</v>
      </c>
      <c r="C614" s="2">
        <v>61.8957993918196</v>
      </c>
      <c r="D614" s="2">
        <v>96.882628431103</v>
      </c>
      <c r="E614" s="2">
        <v>125.459343376951</v>
      </c>
      <c r="F614" s="2">
        <v>136.480944065419</v>
      </c>
      <c r="G614" s="2">
        <v>127.809673288388</v>
      </c>
      <c r="H614" s="2">
        <v>101.020742570464</v>
      </c>
      <c r="I614" s="2">
        <v>61.2957316183034</v>
      </c>
      <c r="J614" s="2">
        <v>19.0121123491588</v>
      </c>
      <c r="K614" s="2">
        <v>0.0</v>
      </c>
    </row>
    <row r="615">
      <c r="A615" s="2">
        <v>613.0</v>
      </c>
      <c r="B615" s="2">
        <v>613.0</v>
      </c>
      <c r="C615" s="2">
        <v>60.4516990022284</v>
      </c>
      <c r="D615" s="2">
        <v>95.8569458642589</v>
      </c>
      <c r="E615" s="2">
        <v>124.674553340883</v>
      </c>
      <c r="F615" s="2">
        <v>136.005124611891</v>
      </c>
      <c r="G615" s="2">
        <v>127.67935545018</v>
      </c>
      <c r="H615" s="2">
        <v>101.21639489779</v>
      </c>
      <c r="I615" s="2">
        <v>61.7227064281589</v>
      </c>
      <c r="J615" s="2">
        <v>19.4444109035389</v>
      </c>
      <c r="K615" s="2">
        <v>0.0</v>
      </c>
    </row>
    <row r="616">
      <c r="A616" s="2">
        <v>614.0</v>
      </c>
      <c r="B616" s="2">
        <v>614.0</v>
      </c>
      <c r="C616" s="2">
        <v>59.0207627965783</v>
      </c>
      <c r="D616" s="2">
        <v>94.8332715569474</v>
      </c>
      <c r="E616" s="2">
        <v>123.889248913911</v>
      </c>
      <c r="F616" s="2">
        <v>135.527969064999</v>
      </c>
      <c r="G616" s="2">
        <v>127.547849843654</v>
      </c>
      <c r="H616" s="2">
        <v>101.411830906751</v>
      </c>
      <c r="I616" s="2">
        <v>62.151363608829</v>
      </c>
      <c r="J616" s="2">
        <v>19.882037172813</v>
      </c>
      <c r="K616" s="2">
        <v>0.0</v>
      </c>
    </row>
    <row r="617">
      <c r="A617" s="2">
        <v>615.0</v>
      </c>
      <c r="B617" s="2">
        <v>615.0</v>
      </c>
      <c r="C617" s="2">
        <v>57.7297505493462</v>
      </c>
      <c r="D617" s="2">
        <v>93.9028589465455</v>
      </c>
      <c r="E617" s="2">
        <v>123.173683434432</v>
      </c>
      <c r="F617" s="2">
        <v>135.092281201905</v>
      </c>
      <c r="G617" s="2">
        <v>127.427040726557</v>
      </c>
      <c r="H617" s="2">
        <v>101.589588036767</v>
      </c>
      <c r="I617" s="2">
        <v>62.5431572840492</v>
      </c>
      <c r="J617" s="2">
        <v>20.2851855994572</v>
      </c>
      <c r="K617" s="2">
        <v>0.0</v>
      </c>
    </row>
    <row r="618">
      <c r="A618" s="2">
        <v>616.0</v>
      </c>
      <c r="B618" s="2">
        <v>616.0</v>
      </c>
      <c r="C618" s="2">
        <v>56.4510077924428</v>
      </c>
      <c r="D618" s="2">
        <v>92.9743265814182</v>
      </c>
      <c r="E618" s="2">
        <v>122.457822702221</v>
      </c>
      <c r="F618" s="2">
        <v>134.655536346262</v>
      </c>
      <c r="G618" s="2">
        <v>127.305225339845</v>
      </c>
      <c r="H618" s="2">
        <v>101.767089373233</v>
      </c>
      <c r="I618" s="2">
        <v>62.9362444459375</v>
      </c>
      <c r="J618" s="2">
        <v>20.6926773233968</v>
      </c>
      <c r="K618" s="2">
        <v>0.0</v>
      </c>
    </row>
    <row r="619">
      <c r="A619" s="2">
        <v>617.0</v>
      </c>
      <c r="B619" s="2">
        <v>617.0</v>
      </c>
      <c r="C619" s="2">
        <v>55.1852092745875</v>
      </c>
      <c r="D619" s="2">
        <v>92.0477740641868</v>
      </c>
      <c r="E619" s="2">
        <v>121.741728473093</v>
      </c>
      <c r="F619" s="2">
        <v>134.217759256601</v>
      </c>
      <c r="G619" s="2">
        <v>127.182394752455</v>
      </c>
      <c r="H619" s="2">
        <v>101.944299858325</v>
      </c>
      <c r="I619" s="2">
        <v>63.3305772940097</v>
      </c>
      <c r="J619" s="2">
        <v>21.1044749837387</v>
      </c>
      <c r="K619" s="2">
        <v>0.0</v>
      </c>
    </row>
    <row r="620">
      <c r="A620" s="2">
        <v>618.0</v>
      </c>
      <c r="B620" s="2">
        <v>618.0</v>
      </c>
      <c r="C620" s="2">
        <v>53.93305312423</v>
      </c>
      <c r="D620" s="2">
        <v>91.1233004757505</v>
      </c>
      <c r="E620" s="2">
        <v>121.025462745137</v>
      </c>
      <c r="F620" s="2">
        <v>133.778975276831</v>
      </c>
      <c r="G620" s="2">
        <v>127.058540655688</v>
      </c>
      <c r="H620" s="2">
        <v>102.121184799289</v>
      </c>
      <c r="I620" s="2">
        <v>63.7261077866316</v>
      </c>
      <c r="J620" s="2">
        <v>21.5205397178492</v>
      </c>
      <c r="K620" s="2">
        <v>0.0</v>
      </c>
    </row>
    <row r="621">
      <c r="A621" s="2">
        <v>619.0</v>
      </c>
      <c r="B621" s="2">
        <v>619.0</v>
      </c>
      <c r="C621" s="2">
        <v>52.6952590621287</v>
      </c>
      <c r="D621" s="2">
        <v>90.2010022480125</v>
      </c>
      <c r="E621" s="2">
        <v>120.309086355079</v>
      </c>
      <c r="F621" s="2">
        <v>133.339209770713</v>
      </c>
      <c r="G621" s="2">
        <v>126.933655645873</v>
      </c>
      <c r="H621" s="2">
        <v>102.297710871142</v>
      </c>
      <c r="I621" s="2">
        <v>64.1227890708769</v>
      </c>
      <c r="J621" s="2">
        <v>21.9408324576397</v>
      </c>
      <c r="K621" s="2">
        <v>0.0</v>
      </c>
    </row>
    <row r="622">
      <c r="A622" s="2">
        <v>620.0</v>
      </c>
      <c r="B622" s="2">
        <v>620.0</v>
      </c>
      <c r="C622" s="2">
        <v>51.4725735055896</v>
      </c>
      <c r="D622" s="2">
        <v>89.2809754621798</v>
      </c>
      <c r="E622" s="2">
        <v>119.592660447797</v>
      </c>
      <c r="F622" s="2">
        <v>132.898488661622</v>
      </c>
      <c r="G622" s="2">
        <v>126.807732839929</v>
      </c>
      <c r="H622" s="2">
        <v>102.473844964018</v>
      </c>
      <c r="I622" s="2">
        <v>64.5205738990389</v>
      </c>
      <c r="J622" s="2">
        <v>22.3653125606991</v>
      </c>
      <c r="K622" s="2">
        <v>0.0</v>
      </c>
    </row>
    <row r="623">
      <c r="A623" s="2">
        <v>621.0</v>
      </c>
      <c r="B623" s="2">
        <v>621.0</v>
      </c>
      <c r="C623" s="2">
        <v>50.2657681220638</v>
      </c>
      <c r="D623" s="2">
        <v>88.3633137857556</v>
      </c>
      <c r="E623" s="2">
        <v>118.87624513951</v>
      </c>
      <c r="F623" s="2">
        <v>132.456837932995</v>
      </c>
      <c r="G623" s="2">
        <v>126.680766216764</v>
      </c>
      <c r="H623" s="2">
        <v>102.649555231791</v>
      </c>
      <c r="I623" s="2">
        <v>64.9194160896076</v>
      </c>
      <c r="J623" s="2">
        <v>22.793939129925</v>
      </c>
      <c r="K623" s="2">
        <v>0.0</v>
      </c>
    </row>
    <row r="624">
      <c r="A624" s="2">
        <v>622.0</v>
      </c>
      <c r="B624" s="2">
        <v>622.0</v>
      </c>
      <c r="C624" s="2">
        <v>49.0756441996543</v>
      </c>
      <c r="D624" s="2">
        <v>87.4481101780447</v>
      </c>
      <c r="E624" s="2">
        <v>118.159900644359</v>
      </c>
      <c r="F624" s="2">
        <v>132.014284090928</v>
      </c>
      <c r="G624" s="2">
        <v>126.552750407803</v>
      </c>
      <c r="H624" s="2">
        <v>102.824810312296</v>
      </c>
      <c r="I624" s="2">
        <v>65.3192694127729</v>
      </c>
      <c r="J624" s="2">
        <v>23.2266700278446</v>
      </c>
      <c r="K624" s="2">
        <v>0.0</v>
      </c>
    </row>
    <row r="625">
      <c r="A625" s="2">
        <v>623.0</v>
      </c>
      <c r="B625" s="2">
        <v>623.0</v>
      </c>
      <c r="C625" s="2">
        <v>47.903033350089</v>
      </c>
      <c r="D625" s="2">
        <v>86.5354560005155</v>
      </c>
      <c r="E625" s="2">
        <v>117.443686642975</v>
      </c>
      <c r="F625" s="2">
        <v>131.570853854594</v>
      </c>
      <c r="G625" s="2">
        <v>126.423680728986</v>
      </c>
      <c r="H625" s="2">
        <v>102.999579664568</v>
      </c>
      <c r="I625" s="2">
        <v>65.7200881294879</v>
      </c>
      <c r="J625" s="2">
        <v>23.6634624092984</v>
      </c>
      <c r="K625" s="2">
        <v>0.0</v>
      </c>
    </row>
    <row r="626">
      <c r="A626" s="2">
        <v>624.0</v>
      </c>
      <c r="B626" s="2">
        <v>624.0</v>
      </c>
      <c r="C626" s="2">
        <v>46.7487991240884</v>
      </c>
      <c r="D626" s="2">
        <v>85.6254406377984</v>
      </c>
      <c r="E626" s="2">
        <v>116.727662031731</v>
      </c>
      <c r="F626" s="2">
        <v>131.126574065771</v>
      </c>
      <c r="G626" s="2">
        <v>126.293553255393</v>
      </c>
      <c r="H626" s="2">
        <v>103.173833785868</v>
      </c>
      <c r="I626" s="2">
        <v>66.1218272988722</v>
      </c>
      <c r="J626" s="2">
        <v>24.1042730280463</v>
      </c>
      <c r="K626" s="2">
        <v>0.0</v>
      </c>
    </row>
    <row r="627">
      <c r="A627" s="2">
        <v>625.0</v>
      </c>
      <c r="B627" s="2">
        <v>625.0</v>
      </c>
      <c r="C627" s="2">
        <v>45.6138408764073</v>
      </c>
      <c r="D627" s="2">
        <v>84.7181525949793</v>
      </c>
      <c r="E627" s="2">
        <v>116.011885684018</v>
      </c>
      <c r="F627" s="2">
        <v>130.681472048846</v>
      </c>
      <c r="G627" s="2">
        <v>126.16236476236</v>
      </c>
      <c r="H627" s="2">
        <v>103.347543785327</v>
      </c>
      <c r="I627" s="2">
        <v>66.5244421212311</v>
      </c>
      <c r="J627" s="2">
        <v>24.5490576324359</v>
      </c>
      <c r="K627" s="2">
        <v>0.0</v>
      </c>
    </row>
    <row r="628">
      <c r="A628" s="2">
        <v>626.0</v>
      </c>
      <c r="B628" s="2">
        <v>626.0</v>
      </c>
      <c r="C628" s="2">
        <v>44.4982056782709</v>
      </c>
      <c r="D628" s="2">
        <v>83.8136789818294</v>
      </c>
      <c r="E628" s="2">
        <v>115.296416027207</v>
      </c>
      <c r="F628" s="2">
        <v>130.23557533246</v>
      </c>
      <c r="G628" s="2">
        <v>126.030112621942</v>
      </c>
      <c r="H628" s="2">
        <v>103.520681456368</v>
      </c>
      <c r="I628" s="2">
        <v>66.9278881510841</v>
      </c>
      <c r="J628" s="2">
        <v>24.9977712284205</v>
      </c>
      <c r="K628" s="2">
        <v>8.69199359600469E-4</v>
      </c>
    </row>
    <row r="629">
      <c r="A629" s="2">
        <v>627.0</v>
      </c>
      <c r="B629" s="2">
        <v>627.0</v>
      </c>
      <c r="C629" s="2">
        <v>43.3999394146229</v>
      </c>
      <c r="D629" s="2">
        <v>82.912105443389</v>
      </c>
      <c r="E629" s="2">
        <v>114.581311075408</v>
      </c>
      <c r="F629" s="2">
        <v>129.788911781258</v>
      </c>
      <c r="G629" s="2">
        <v>125.896795011543</v>
      </c>
      <c r="H629" s="2">
        <v>103.693219527477</v>
      </c>
      <c r="I629" s="2">
        <v>67.3321215473072</v>
      </c>
      <c r="J629" s="2">
        <v>25.4503682832827</v>
      </c>
      <c r="K629" s="2">
        <v>0.00533322868459335</v>
      </c>
    </row>
    <row r="630">
      <c r="A630" s="2">
        <v>628.0</v>
      </c>
      <c r="B630" s="2">
        <v>628.0</v>
      </c>
      <c r="C630" s="2">
        <v>42.3180409132022</v>
      </c>
      <c r="D630" s="2">
        <v>82.0135156322938</v>
      </c>
      <c r="E630" s="2">
        <v>113.86662796586</v>
      </c>
      <c r="F630" s="2">
        <v>129.341509261666</v>
      </c>
      <c r="G630" s="2">
        <v>125.762410751366</v>
      </c>
      <c r="H630" s="2">
        <v>103.865131684509</v>
      </c>
      <c r="I630" s="2">
        <v>67.7370992566482</v>
      </c>
      <c r="J630" s="2">
        <v>25.9068029926998</v>
      </c>
      <c r="K630" s="2">
        <v>0.0149942780421097</v>
      </c>
    </row>
    <row r="631">
      <c r="A631" s="2">
        <v>629.0</v>
      </c>
      <c r="B631" s="2">
        <v>629.0</v>
      </c>
      <c r="C631" s="2">
        <v>41.251927774167</v>
      </c>
      <c r="D631" s="2">
        <v>81.1179925625807</v>
      </c>
      <c r="E631" s="2">
        <v>113.152423959497</v>
      </c>
      <c r="F631" s="2">
        <v>128.893396185661</v>
      </c>
      <c r="G631" s="2">
        <v>125.6269593478</v>
      </c>
      <c r="H631" s="2">
        <v>104.036392153536</v>
      </c>
      <c r="I631" s="2">
        <v>68.142778279639</v>
      </c>
      <c r="J631" s="2">
        <v>26.3670285469692</v>
      </c>
      <c r="K631" s="2">
        <v>0.0309406177837145</v>
      </c>
    </row>
    <row r="632">
      <c r="A632" s="2">
        <v>630.0</v>
      </c>
      <c r="B632" s="2">
        <v>630.0</v>
      </c>
      <c r="C632" s="2">
        <v>40.2011923568715</v>
      </c>
      <c r="D632" s="2">
        <v>80.2256177030596</v>
      </c>
      <c r="E632" s="2">
        <v>112.438755749328</v>
      </c>
      <c r="F632" s="2">
        <v>128.44460111728</v>
      </c>
      <c r="G632" s="2">
        <v>125.490440936066</v>
      </c>
      <c r="H632" s="2">
        <v>104.206975961549</v>
      </c>
      <c r="I632" s="2">
        <v>68.5491161637832</v>
      </c>
      <c r="J632" s="2">
        <v>26.8309976679681</v>
      </c>
      <c r="K632" s="2">
        <v>0.0540159995579033</v>
      </c>
    </row>
    <row r="633">
      <c r="A633" s="2">
        <v>631.0</v>
      </c>
      <c r="B633" s="2">
        <v>631.0</v>
      </c>
      <c r="C633" s="2">
        <v>39.1655280092199</v>
      </c>
      <c r="D633" s="2">
        <v>79.336470654649</v>
      </c>
      <c r="E633" s="2">
        <v>111.725679271922</v>
      </c>
      <c r="F633" s="2">
        <v>127.995152746169</v>
      </c>
      <c r="G633" s="2">
        <v>125.352856414103</v>
      </c>
      <c r="H633" s="2">
        <v>104.376859201871</v>
      </c>
      <c r="I633" s="2">
        <v>68.9560713452402</v>
      </c>
      <c r="J633" s="2">
        <v>27.2986629396108</v>
      </c>
      <c r="K633" s="2">
        <v>0.0849071798466666</v>
      </c>
    </row>
    <row r="634">
      <c r="A634" s="2">
        <v>632.0</v>
      </c>
      <c r="B634" s="2">
        <v>632.0</v>
      </c>
      <c r="C634" s="2">
        <v>38.1446959701465</v>
      </c>
      <c r="D634" s="2">
        <v>78.45063031978</v>
      </c>
      <c r="E634" s="2">
        <v>111.013250475115</v>
      </c>
      <c r="F634" s="2">
        <v>127.545080175972</v>
      </c>
      <c r="G634" s="2">
        <v>125.214207241976</v>
      </c>
      <c r="H634" s="2">
        <v>104.546018416802</v>
      </c>
      <c r="I634" s="2">
        <v>69.3636022811627</v>
      </c>
      <c r="J634" s="2">
        <v>27.7699760080235</v>
      </c>
      <c r="K634" s="2">
        <v>0.124187808178646</v>
      </c>
    </row>
    <row r="635">
      <c r="A635" s="2">
        <v>633.0</v>
      </c>
      <c r="B635" s="2">
        <v>633.0</v>
      </c>
      <c r="C635" s="2">
        <v>37.1385043122806</v>
      </c>
      <c r="D635" s="2">
        <v>77.5681737371105</v>
      </c>
      <c r="E635" s="2">
        <v>110.301524524904</v>
      </c>
      <c r="F635" s="2">
        <v>127.094412599601</v>
      </c>
      <c r="G635" s="2">
        <v>125.074495607264</v>
      </c>
      <c r="H635" s="2">
        <v>104.714431192545</v>
      </c>
      <c r="I635" s="2">
        <v>69.7716683218281</v>
      </c>
      <c r="J635" s="2">
        <v>28.2448884431645</v>
      </c>
      <c r="K635" s="2">
        <v>0.172344680752545</v>
      </c>
    </row>
    <row r="636">
      <c r="A636" s="2">
        <v>634.0</v>
      </c>
      <c r="B636" s="2">
        <v>634.0</v>
      </c>
      <c r="C636" s="2">
        <v>36.1467969972217</v>
      </c>
      <c r="D636" s="2">
        <v>76.6891770608577</v>
      </c>
      <c r="E636" s="2">
        <v>109.590556458748</v>
      </c>
      <c r="F636" s="2">
        <v>126.643179557729</v>
      </c>
      <c r="G636" s="2">
        <v>124.933724276978</v>
      </c>
      <c r="H636" s="2">
        <v>104.882075661108</v>
      </c>
      <c r="I636" s="2">
        <v>70.1802289979905</v>
      </c>
      <c r="J636" s="2">
        <v>28.723351074028</v>
      </c>
      <c r="K636" s="2">
        <v>0.229794991880189</v>
      </c>
    </row>
    <row r="637">
      <c r="A637" s="2">
        <v>635.0</v>
      </c>
      <c r="B637" s="2">
        <v>635.0</v>
      </c>
      <c r="C637" s="2">
        <v>35.1694442205647</v>
      </c>
      <c r="D637" s="2">
        <v>75.8137143964367</v>
      </c>
      <c r="E637" s="2">
        <v>108.880400372683</v>
      </c>
      <c r="F637" s="2">
        <v>126.191410582958</v>
      </c>
      <c r="G637" s="2">
        <v>124.791896728551</v>
      </c>
      <c r="H637" s="2">
        <v>105.04893106554</v>
      </c>
      <c r="I637" s="2">
        <v>70.5892448762236</v>
      </c>
      <c r="J637" s="2">
        <v>29.2053148565963</v>
      </c>
      <c r="K637" s="2">
        <v>0.296898642427585</v>
      </c>
    </row>
    <row r="638">
      <c r="A638" s="2">
        <v>636.0</v>
      </c>
      <c r="B638" s="2">
        <v>636.0</v>
      </c>
      <c r="C638" s="2">
        <v>34.2063383773759</v>
      </c>
      <c r="D638" s="2">
        <v>74.9418592179529</v>
      </c>
      <c r="E638" s="2">
        <v>108.171110426005</v>
      </c>
      <c r="F638" s="2">
        <v>125.739135673776</v>
      </c>
      <c r="G638" s="2">
        <v>124.649017055832</v>
      </c>
      <c r="H638" s="2">
        <v>105.214977156825</v>
      </c>
      <c r="I638" s="2">
        <v>70.9986766176369</v>
      </c>
      <c r="J638" s="2">
        <v>29.6907299426384</v>
      </c>
      <c r="K638" s="2">
        <v>0.373967199717261</v>
      </c>
    </row>
    <row r="639">
      <c r="A639" s="2">
        <v>637.0</v>
      </c>
      <c r="B639" s="2">
        <v>637.0</v>
      </c>
      <c r="C639" s="2">
        <v>33.2573885863781</v>
      </c>
      <c r="D639" s="2">
        <v>74.0736833306425</v>
      </c>
      <c r="E639" s="2">
        <v>107.462740061573</v>
      </c>
      <c r="F639" s="2">
        <v>125.286384877586</v>
      </c>
      <c r="G639" s="2">
        <v>124.505089958614</v>
      </c>
      <c r="H639" s="2">
        <v>105.380194564679</v>
      </c>
      <c r="I639" s="2">
        <v>71.4084856253824</v>
      </c>
      <c r="J639" s="2">
        <v>30.1795463826554</v>
      </c>
      <c r="K639" s="2">
        <v>0.461270947831609</v>
      </c>
    </row>
    <row r="640">
      <c r="A640" s="2">
        <v>638.0</v>
      </c>
      <c r="B640" s="2">
        <v>638.0</v>
      </c>
      <c r="C640" s="2">
        <v>32.3225180177722</v>
      </c>
      <c r="D640" s="2">
        <v>73.2092573393373</v>
      </c>
      <c r="E640" s="2">
        <v>106.75534237521</v>
      </c>
      <c r="F640" s="2">
        <v>124.833188519521</v>
      </c>
      <c r="G640" s="2">
        <v>124.360120808354</v>
      </c>
      <c r="H640" s="2">
        <v>105.544564705376</v>
      </c>
      <c r="I640" s="2">
        <v>71.8186338355887</v>
      </c>
      <c r="J640" s="2">
        <v>30.6717139029185</v>
      </c>
      <c r="K640" s="2">
        <v>0.55904437327621</v>
      </c>
    </row>
    <row r="641">
      <c r="A641" s="2">
        <v>639.0</v>
      </c>
      <c r="B641" s="2">
        <v>639.0</v>
      </c>
      <c r="C641" s="2">
        <v>31.401661157205</v>
      </c>
      <c r="D641" s="2">
        <v>72.3486503818668</v>
      </c>
      <c r="E641" s="2">
        <v>106.048969857725</v>
      </c>
      <c r="F641" s="2">
        <v>124.379576995187</v>
      </c>
      <c r="G641" s="2">
        <v>124.214115521961</v>
      </c>
      <c r="H641" s="2">
        <v>105.708069752844</v>
      </c>
      <c r="I641" s="2">
        <v>72.2290837843079</v>
      </c>
      <c r="J641" s="2">
        <v>31.1671820432858</v>
      </c>
      <c r="K641" s="2">
        <v>0.667490656723015</v>
      </c>
    </row>
    <row r="642">
      <c r="A642" s="2">
        <v>640.0</v>
      </c>
      <c r="B642" s="2">
        <v>640.0</v>
      </c>
      <c r="C642" s="2">
        <v>30.4947623447424</v>
      </c>
      <c r="D642" s="2">
        <v>71.4919306020622</v>
      </c>
      <c r="E642" s="2">
        <v>105.343674783239</v>
      </c>
      <c r="F642" s="2">
        <v>123.925581026261</v>
      </c>
      <c r="G642" s="2">
        <v>124.067080656319</v>
      </c>
      <c r="H642" s="2">
        <v>105.87069257149</v>
      </c>
      <c r="I642" s="2">
        <v>72.6397984138568</v>
      </c>
      <c r="J642" s="2">
        <v>31.6658999333542</v>
      </c>
      <c r="K642" s="2">
        <v>0.786785301377606</v>
      </c>
    </row>
    <row r="643">
      <c r="A643" s="2">
        <v>641.0</v>
      </c>
      <c r="B643" s="2">
        <v>641.0</v>
      </c>
      <c r="C643" s="2">
        <v>29.6017733065877</v>
      </c>
      <c r="D643" s="2">
        <v>70.6391643704116</v>
      </c>
      <c r="E643" s="2">
        <v>104.639508626964</v>
      </c>
      <c r="F643" s="2">
        <v>123.471231363019</v>
      </c>
      <c r="G643" s="2">
        <v>123.919023430328</v>
      </c>
      <c r="H643" s="2">
        <v>106.032417037537</v>
      </c>
      <c r="I643" s="2">
        <v>73.0507416126342</v>
      </c>
      <c r="J643" s="2">
        <v>32.1678168853309</v>
      </c>
      <c r="K643" s="2">
        <v>0.917079341965397</v>
      </c>
    </row>
    <row r="644">
      <c r="A644" s="2">
        <v>642.0</v>
      </c>
      <c r="B644" s="2">
        <v>642.0</v>
      </c>
      <c r="C644" s="2">
        <v>28.7226529717199</v>
      </c>
      <c r="D644" s="2">
        <v>69.7904172015594</v>
      </c>
      <c r="E644" s="2">
        <v>103.936522678056</v>
      </c>
      <c r="F644" s="2">
        <v>123.016559012936</v>
      </c>
      <c r="G644" s="2">
        <v>123.769951553821</v>
      </c>
      <c r="H644" s="2">
        <v>106.193227521388</v>
      </c>
      <c r="I644" s="2">
        <v>73.4618774795617</v>
      </c>
      <c r="J644" s="2">
        <v>32.6728816837659</v>
      </c>
      <c r="K644" s="2">
        <v>1.05850180796574</v>
      </c>
    </row>
    <row r="645">
      <c r="A645" s="2">
        <v>643.0</v>
      </c>
      <c r="B645" s="2">
        <v>643.0</v>
      </c>
      <c r="C645" s="2">
        <v>27.8573657768143</v>
      </c>
      <c r="D645" s="2">
        <v>68.9457532594701</v>
      </c>
      <c r="E645" s="2">
        <v>103.234767731882</v>
      </c>
      <c r="F645" s="2">
        <v>122.561595168085</v>
      </c>
      <c r="G645" s="2">
        <v>123.61987339436</v>
      </c>
      <c r="H645" s="2">
        <v>106.353109257071</v>
      </c>
      <c r="I645" s="2">
        <v>73.8731708183829</v>
      </c>
      <c r="J645" s="2">
        <v>33.1810430738884</v>
      </c>
      <c r="K645" s="2">
        <v>1.21116206122211</v>
      </c>
    </row>
    <row r="646">
      <c r="A646" s="2">
        <v>644.0</v>
      </c>
      <c r="B646" s="2">
        <v>644.0</v>
      </c>
      <c r="C646" s="2">
        <v>27.0058809753732</v>
      </c>
      <c r="D646" s="2">
        <v>68.1052354879783</v>
      </c>
      <c r="E646" s="2">
        <v>102.53429412421</v>
      </c>
      <c r="F646" s="2">
        <v>122.106371143771</v>
      </c>
      <c r="G646" s="2">
        <v>123.468797835238</v>
      </c>
      <c r="H646" s="2">
        <v>106.512048148307</v>
      </c>
      <c r="I646" s="2">
        <v>74.2845869339917</v>
      </c>
      <c r="J646" s="2">
        <v>33.6922496126194</v>
      </c>
      <c r="K646" s="2">
        <v>1.3751517057522</v>
      </c>
    </row>
    <row r="647">
      <c r="A647" s="2">
        <v>645.0</v>
      </c>
      <c r="B647" s="2">
        <v>645.0</v>
      </c>
      <c r="C647" s="2">
        <v>26.1681715069801</v>
      </c>
      <c r="D647" s="2">
        <v>67.2689253010096</v>
      </c>
      <c r="E647" s="2">
        <v>101.835151538654</v>
      </c>
      <c r="F647" s="2">
        <v>121.650918338981</v>
      </c>
      <c r="G647" s="2">
        <v>123.316734393399</v>
      </c>
      <c r="H647" s="2">
        <v>106.670031021042</v>
      </c>
      <c r="I647" s="2">
        <v>74.6960919706663</v>
      </c>
      <c r="J647" s="2">
        <v>34.2064500132247</v>
      </c>
      <c r="K647" s="2">
        <v>1.55054637723865</v>
      </c>
    </row>
    <row r="648">
      <c r="A648" s="2">
        <v>646.0</v>
      </c>
      <c r="B648" s="2">
        <v>646.0</v>
      </c>
      <c r="C648" s="2">
        <v>25.3442141771164</v>
      </c>
      <c r="D648" s="2">
        <v>66.436883307</v>
      </c>
      <c r="E648" s="2">
        <v>101.137389503658</v>
      </c>
      <c r="F648" s="2">
        <v>121.195268434826</v>
      </c>
      <c r="G648" s="2">
        <v>123.163693101532</v>
      </c>
      <c r="H648" s="2">
        <v>106.827045226324</v>
      </c>
      <c r="I648" s="2">
        <v>75.1076523328401</v>
      </c>
      <c r="J648" s="2">
        <v>34.7235925704185</v>
      </c>
      <c r="K648" s="2">
        <v>1.73740706127806</v>
      </c>
    </row>
    <row r="649">
      <c r="A649" s="2">
        <v>647.0</v>
      </c>
      <c r="B649" s="2">
        <v>647.0</v>
      </c>
      <c r="C649" s="2">
        <v>24.533988103981</v>
      </c>
      <c r="D649" s="2">
        <v>65.6091684051502</v>
      </c>
      <c r="E649" s="2">
        <v>100.4410567373</v>
      </c>
      <c r="F649" s="2">
        <v>120.739453095075</v>
      </c>
      <c r="G649" s="2">
        <v>123.009684601428</v>
      </c>
      <c r="H649" s="2">
        <v>106.983079095166</v>
      </c>
      <c r="I649" s="2">
        <v>75.5192353975801</v>
      </c>
      <c r="J649" s="2">
        <v>35.2436259284612</v>
      </c>
      <c r="K649" s="2">
        <v>1.93578164862635</v>
      </c>
    </row>
    <row r="650">
      <c r="A650" s="2">
        <v>648.0</v>
      </c>
      <c r="B650" s="2">
        <v>648.0</v>
      </c>
      <c r="C650" s="2">
        <v>23.7374750566304</v>
      </c>
      <c r="D650" s="2">
        <v>64.7858385206467</v>
      </c>
      <c r="E650" s="2">
        <v>99.7462016641208</v>
      </c>
      <c r="F650" s="2">
        <v>120.283504189179</v>
      </c>
      <c r="G650" s="2">
        <v>122.854720051083</v>
      </c>
      <c r="H650" s="2">
        <v>107.13812156263</v>
      </c>
      <c r="I650" s="2">
        <v>75.930808948962</v>
      </c>
      <c r="J650" s="2">
        <v>35.7664985089611</v>
      </c>
      <c r="K650" s="2">
        <v>2.14570592877222</v>
      </c>
    </row>
    <row r="651">
      <c r="A651" s="2">
        <v>649.0</v>
      </c>
      <c r="B651" s="2">
        <v>649.0</v>
      </c>
      <c r="C651" s="2">
        <v>22.9546590192082</v>
      </c>
      <c r="D651" s="2">
        <v>63.9669505947492</v>
      </c>
      <c r="E651" s="2">
        <v>99.0528723940722</v>
      </c>
      <c r="F651" s="2">
        <v>119.827453765505</v>
      </c>
      <c r="G651" s="2">
        <v>122.698811097699</v>
      </c>
      <c r="H651" s="2">
        <v>107.292162146328</v>
      </c>
      <c r="I651" s="2">
        <v>76.3423411683458</v>
      </c>
      <c r="J651" s="2">
        <v>36.2921585228941</v>
      </c>
      <c r="K651" s="2">
        <v>2.36720462504941</v>
      </c>
    </row>
    <row r="652">
      <c r="A652" s="2">
        <v>650.0</v>
      </c>
      <c r="B652" s="2">
        <v>650.0</v>
      </c>
      <c r="C652" s="2">
        <v>22.1855252649886</v>
      </c>
      <c r="D652" s="2">
        <v>63.1525600717846</v>
      </c>
      <c r="E652" s="2">
        <v>98.3611163561459</v>
      </c>
      <c r="F652" s="2">
        <v>119.371333897378</v>
      </c>
      <c r="G652" s="2">
        <v>122.541969957421</v>
      </c>
      <c r="H652" s="2">
        <v>107.445191240156</v>
      </c>
      <c r="I652" s="2">
        <v>76.7538010805993</v>
      </c>
      <c r="J652" s="2">
        <v>36.8205544547527</v>
      </c>
      <c r="K652" s="2">
        <v>2.60029251067618</v>
      </c>
    </row>
    <row r="653">
      <c r="A653" s="2">
        <v>651.0</v>
      </c>
      <c r="B653" s="2">
        <v>651.0</v>
      </c>
      <c r="C653" s="2">
        <v>21.4300604389318</v>
      </c>
      <c r="D653" s="2">
        <v>62.3427212967023</v>
      </c>
      <c r="E653" s="2">
        <v>97.6709806025622</v>
      </c>
      <c r="F653" s="2">
        <v>118.915176850072</v>
      </c>
      <c r="G653" s="2">
        <v>122.384209426241</v>
      </c>
      <c r="H653" s="2">
        <v>107.597199977623</v>
      </c>
      <c r="I653" s="2">
        <v>77.1651583102697</v>
      </c>
      <c r="J653" s="2">
        <v>37.3516348017646</v>
      </c>
      <c r="K653" s="2">
        <v>2.84497516200494</v>
      </c>
    </row>
    <row r="654">
      <c r="A654" s="2">
        <v>652.0</v>
      </c>
      <c r="B654" s="2">
        <v>652.0</v>
      </c>
      <c r="C654" s="2">
        <v>20.6882520671489</v>
      </c>
      <c r="D654" s="2">
        <v>61.5374872706771</v>
      </c>
      <c r="E654" s="2">
        <v>96.9825115597588</v>
      </c>
      <c r="F654" s="2">
        <v>118.459014871395</v>
      </c>
      <c r="G654" s="2">
        <v>122.225542743154</v>
      </c>
      <c r="H654" s="2">
        <v>107.748180187587</v>
      </c>
      <c r="I654" s="2">
        <v>77.5763831335115</v>
      </c>
      <c r="J654" s="2">
        <v>37.8853482040381</v>
      </c>
      <c r="K654" s="2">
        <v>3.10124979592058</v>
      </c>
    </row>
    <row r="655">
      <c r="A655" s="2">
        <v>653.0</v>
      </c>
      <c r="B655" s="2">
        <v>653.0</v>
      </c>
      <c r="C655" s="2">
        <v>19.9600888586228</v>
      </c>
      <c r="D655" s="2">
        <v>60.7369102431641</v>
      </c>
      <c r="E655" s="2">
        <v>96.2957555046977</v>
      </c>
      <c r="F655" s="2">
        <v>118.002880475122</v>
      </c>
      <c r="G655" s="2">
        <v>122.065983643059</v>
      </c>
      <c r="H655" s="2">
        <v>107.898124220059</v>
      </c>
      <c r="I655" s="2">
        <v>77.9874461272841</v>
      </c>
      <c r="J655" s="2">
        <v>38.4216430375568</v>
      </c>
      <c r="K655" s="2">
        <v>3.36910577626273</v>
      </c>
    </row>
    <row r="656">
      <c r="A656" s="2">
        <v>654.0</v>
      </c>
      <c r="B656" s="2">
        <v>654.0</v>
      </c>
      <c r="C656" s="2">
        <v>19.2455595898752</v>
      </c>
      <c r="D656" s="2">
        <v>59.9410408500464</v>
      </c>
      <c r="E656" s="2">
        <v>95.6107579296676</v>
      </c>
      <c r="F656" s="2">
        <v>117.546806149422</v>
      </c>
      <c r="G656" s="2">
        <v>121.905546451334</v>
      </c>
      <c r="H656" s="2">
        <v>108.047025400944</v>
      </c>
      <c r="I656" s="2">
        <v>78.3983188876895</v>
      </c>
      <c r="J656" s="2">
        <v>38.960468208245</v>
      </c>
      <c r="K656" s="2">
        <v>3.64852559589501</v>
      </c>
    </row>
    <row r="657">
      <c r="A657" s="2">
        <v>655.0</v>
      </c>
      <c r="B657" s="2">
        <v>655.0</v>
      </c>
      <c r="C657" s="2">
        <v>18.5446537583185</v>
      </c>
      <c r="D657" s="2">
        <v>59.1499289293867</v>
      </c>
      <c r="E657" s="2">
        <v>94.9275640810054</v>
      </c>
      <c r="F657" s="2">
        <v>117.090824522713</v>
      </c>
      <c r="G657" s="2">
        <v>121.744245857598</v>
      </c>
      <c r="H657" s="2">
        <v>108.194877464109</v>
      </c>
      <c r="I657" s="2">
        <v>78.8089732413218</v>
      </c>
      <c r="J657" s="2">
        <v>39.5017723592099</v>
      </c>
      <c r="K657" s="2">
        <v>3.93948511924952</v>
      </c>
    </row>
    <row r="658">
      <c r="A658" s="2">
        <v>656.0</v>
      </c>
      <c r="B658" s="2">
        <v>656.0</v>
      </c>
      <c r="C658" s="2">
        <v>17.8573607278867</v>
      </c>
      <c r="D658" s="2">
        <v>58.3636229138326</v>
      </c>
      <c r="E658" s="2">
        <v>94.2462185700528</v>
      </c>
      <c r="F658" s="2">
        <v>116.634968272379</v>
      </c>
      <c r="G658" s="2">
        <v>121.582097136523</v>
      </c>
      <c r="H658" s="2">
        <v>108.341675043226</v>
      </c>
      <c r="I658" s="2">
        <v>79.2193819141877</v>
      </c>
      <c r="J658" s="2">
        <v>40.0455045591808</v>
      </c>
      <c r="K658" s="2">
        <v>4.24195441550403</v>
      </c>
    </row>
    <row r="659">
      <c r="A659" s="2">
        <v>657.0</v>
      </c>
      <c r="B659" s="2">
        <v>657.0</v>
      </c>
      <c r="C659" s="2">
        <v>17.183670050763</v>
      </c>
      <c r="D659" s="2">
        <v>57.5821703087845</v>
      </c>
      <c r="E659" s="2">
        <v>93.5667656807868</v>
      </c>
      <c r="F659" s="2">
        <v>116.179270205838</v>
      </c>
      <c r="G659" s="2">
        <v>121.419115993396</v>
      </c>
      <c r="H659" s="2">
        <v>108.487413314931</v>
      </c>
      <c r="I659" s="2">
        <v>79.6295180477645</v>
      </c>
      <c r="J659" s="2">
        <v>40.5916138240506</v>
      </c>
      <c r="K659" s="2">
        <v>4.55589803241903</v>
      </c>
    </row>
    <row r="660">
      <c r="A660" s="2">
        <v>658.0</v>
      </c>
      <c r="B660" s="2">
        <v>658.0</v>
      </c>
      <c r="C660" s="2">
        <v>16.5235709711643</v>
      </c>
      <c r="D660" s="2">
        <v>56.8056173497166</v>
      </c>
      <c r="E660" s="2">
        <v>92.8892491016088</v>
      </c>
      <c r="F660" s="2">
        <v>115.723763119941</v>
      </c>
      <c r="G660" s="2">
        <v>121.255318574294</v>
      </c>
      <c r="H660" s="2">
        <v>108.632088155953</v>
      </c>
      <c r="I660" s="2">
        <v>80.039355471784</v>
      </c>
      <c r="J660" s="2">
        <v>41.1400494405657</v>
      </c>
      <c r="K660" s="2">
        <v>4.88127560980977</v>
      </c>
    </row>
    <row r="661">
      <c r="A661" s="2">
        <v>659.0</v>
      </c>
      <c r="B661" s="2">
        <v>659.0</v>
      </c>
      <c r="C661" s="2">
        <v>15.877052459876</v>
      </c>
      <c r="D661" s="2">
        <v>56.0340092402282</v>
      </c>
      <c r="E661" s="2">
        <v>92.2137121481918</v>
      </c>
      <c r="F661" s="2">
        <v>115.268479974538</v>
      </c>
      <c r="G661" s="2">
        <v>121.090721566727</v>
      </c>
      <c r="H661" s="2">
        <v>108.775696160546</v>
      </c>
      <c r="I661" s="2">
        <v>80.4488686458649</v>
      </c>
      <c r="J661" s="2">
        <v>41.6907608690248</v>
      </c>
      <c r="K661" s="2">
        <v>5.21804223351442</v>
      </c>
    </row>
    <row r="662">
      <c r="A662" s="2">
        <v>660.0</v>
      </c>
      <c r="B662" s="2">
        <v>660.0</v>
      </c>
      <c r="C662" s="2">
        <v>15.2441031961041</v>
      </c>
      <c r="D662" s="2">
        <v>55.2673902406017</v>
      </c>
      <c r="E662" s="2">
        <v>91.5401977510802</v>
      </c>
      <c r="F662" s="2">
        <v>114.813453776168</v>
      </c>
      <c r="G662" s="2">
        <v>120.925341997969</v>
      </c>
      <c r="H662" s="2">
        <v>108.918234387373</v>
      </c>
      <c r="I662" s="2">
        <v>80.8580324008091</v>
      </c>
      <c r="J662" s="2">
        <v>42.2436975387004</v>
      </c>
      <c r="K662" s="2">
        <v>5.56614872902451</v>
      </c>
    </row>
    <row r="663">
      <c r="A663" s="2">
        <v>661.0</v>
      </c>
      <c r="B663" s="2">
        <v>661.0</v>
      </c>
      <c r="C663" s="2">
        <v>14.6247109943911</v>
      </c>
      <c r="D663" s="2">
        <v>54.5058032477157</v>
      </c>
      <c r="E663" s="2">
        <v>90.8687481982525</v>
      </c>
      <c r="F663" s="2">
        <v>114.358717544802</v>
      </c>
      <c r="G663" s="2">
        <v>120.759197435167</v>
      </c>
      <c r="H663" s="2">
        <v>109.059700760192</v>
      </c>
      <c r="I663" s="2">
        <v>81.2668224689727</v>
      </c>
      <c r="J663" s="2">
        <v>42.7988093948461</v>
      </c>
      <c r="K663" s="2">
        <v>5.9255423024189</v>
      </c>
    </row>
    <row r="664">
      <c r="A664" s="2">
        <v>662.0</v>
      </c>
      <c r="B664" s="2">
        <v>662.0</v>
      </c>
      <c r="C664" s="2">
        <v>14.0188631213818</v>
      </c>
      <c r="D664" s="2">
        <v>53.7492902414333</v>
      </c>
      <c r="E664" s="2">
        <v>90.1994054092002</v>
      </c>
      <c r="F664" s="2">
        <v>113.904304357782</v>
      </c>
      <c r="G664" s="2">
        <v>120.592305792616</v>
      </c>
      <c r="H664" s="2">
        <v>109.200093674762</v>
      </c>
      <c r="I664" s="2">
        <v>81.6752149680643</v>
      </c>
      <c r="J664" s="2">
        <v>43.3560463888218</v>
      </c>
      <c r="K664" s="2">
        <v>6.29616661049054</v>
      </c>
    </row>
    <row r="665">
      <c r="A665" s="2">
        <v>663.0</v>
      </c>
      <c r="B665" s="2">
        <v>663.0</v>
      </c>
      <c r="C665" s="2">
        <v>13.426545747875</v>
      </c>
      <c r="D665" s="2">
        <v>52.9978918568793</v>
      </c>
      <c r="E665" s="2">
        <v>89.5322106585192</v>
      </c>
      <c r="F665" s="2">
        <v>113.450247291053</v>
      </c>
      <c r="G665" s="2">
        <v>120.424685504721</v>
      </c>
      <c r="H665" s="2">
        <v>109.339412375646</v>
      </c>
      <c r="I665" s="2">
        <v>82.0831869154577</v>
      </c>
      <c r="J665" s="2">
        <v>43.9153590209313</v>
      </c>
      <c r="K665" s="2">
        <v>6.67796237183141</v>
      </c>
    </row>
    <row r="666">
      <c r="A666" s="2">
        <v>664.0</v>
      </c>
      <c r="B666" s="2">
        <v>664.0</v>
      </c>
      <c r="C666" s="2">
        <v>12.8477446756278</v>
      </c>
      <c r="D666" s="2">
        <v>52.2516483384073</v>
      </c>
      <c r="E666" s="2">
        <v>88.8672052674423</v>
      </c>
      <c r="F666" s="2">
        <v>112.996579700908</v>
      </c>
      <c r="G666" s="2">
        <v>120.256355349628</v>
      </c>
      <c r="H666" s="2">
        <v>109.477656357345</v>
      </c>
      <c r="I666" s="2">
        <v>82.4907153256053</v>
      </c>
      <c r="J666" s="2">
        <v>44.4766973576669</v>
      </c>
      <c r="K666" s="2">
        <v>7.07086706832225</v>
      </c>
    </row>
    <row r="667">
      <c r="A667" s="2">
        <v>665.0</v>
      </c>
      <c r="B667" s="2">
        <v>665.0</v>
      </c>
      <c r="C667" s="2">
        <v>12.2824439405438</v>
      </c>
      <c r="D667" s="2">
        <v>51.5105980637012</v>
      </c>
      <c r="E667" s="2">
        <v>88.2044294581813</v>
      </c>
      <c r="F667" s="2">
        <v>112.543334652144</v>
      </c>
      <c r="G667" s="2">
        <v>120.08733455126</v>
      </c>
      <c r="H667" s="2">
        <v>109.614826116826</v>
      </c>
      <c r="I667" s="2">
        <v>82.8977784655408</v>
      </c>
      <c r="J667" s="2">
        <v>45.0400124895422</v>
      </c>
      <c r="K667" s="2">
        <v>7.47481612220089</v>
      </c>
    </row>
    <row r="668">
      <c r="A668" s="2">
        <v>666.0</v>
      </c>
      <c r="B668" s="2">
        <v>666.0</v>
      </c>
      <c r="C668" s="2">
        <v>11.7306269654286</v>
      </c>
      <c r="D668" s="2">
        <v>50.7747790494141</v>
      </c>
      <c r="E668" s="2">
        <v>87.5439235331174</v>
      </c>
      <c r="F668" s="2">
        <v>112.090545525171</v>
      </c>
      <c r="G668" s="2">
        <v>119.917642711726</v>
      </c>
      <c r="H668" s="2">
        <v>109.750922432789</v>
      </c>
      <c r="I668" s="2">
        <v>83.3043546295046</v>
      </c>
      <c r="J668" s="2">
        <v>45.6052551116472</v>
      </c>
      <c r="K668" s="2">
        <v>7.88974225088015</v>
      </c>
    </row>
    <row r="669">
      <c r="A669" s="2">
        <v>667.0</v>
      </c>
      <c r="B669" s="2">
        <v>667.0</v>
      </c>
      <c r="C669" s="2">
        <v>11.1922753462074</v>
      </c>
      <c r="D669" s="2">
        <v>50.044227634474</v>
      </c>
      <c r="E669" s="2">
        <v>86.8857268278812</v>
      </c>
      <c r="F669" s="2">
        <v>111.638245464639</v>
      </c>
      <c r="G669" s="2">
        <v>119.747299853626</v>
      </c>
      <c r="H669" s="2">
        <v>109.885946990398</v>
      </c>
      <c r="I669" s="2">
        <v>83.7104232245516</v>
      </c>
      <c r="J669" s="2">
        <v>46.1723768132222</v>
      </c>
      <c r="K669" s="2">
        <v>8.31557655051914</v>
      </c>
    </row>
    <row r="670">
      <c r="A670" s="2">
        <v>668.0</v>
      </c>
      <c r="B670" s="2">
        <v>668.0</v>
      </c>
      <c r="C670" s="2">
        <v>10.6673698055955</v>
      </c>
      <c r="D670" s="2">
        <v>49.3189798010204</v>
      </c>
      <c r="E670" s="2">
        <v>86.2298787561025</v>
      </c>
      <c r="F670" s="2">
        <v>111.186467923136</v>
      </c>
      <c r="G670" s="2">
        <v>119.576326367463</v>
      </c>
      <c r="H670" s="2">
        <v>110.019901747736</v>
      </c>
      <c r="I670" s="2">
        <v>84.1159636834855</v>
      </c>
      <c r="J670" s="2">
        <v>46.7413288055206</v>
      </c>
      <c r="K670" s="2">
        <v>8.75224787073662</v>
      </c>
    </row>
    <row r="671">
      <c r="A671" s="2">
        <v>669.0</v>
      </c>
      <c r="B671" s="2">
        <v>669.0</v>
      </c>
      <c r="C671" s="2">
        <v>10.1558890286975</v>
      </c>
      <c r="D671" s="2">
        <v>48.5990698723373</v>
      </c>
      <c r="E671" s="2">
        <v>85.5764177640339</v>
      </c>
      <c r="F671" s="2">
        <v>110.735246103866</v>
      </c>
      <c r="G671" s="2">
        <v>119.404743044349</v>
      </c>
      <c r="H671" s="2">
        <v>110.152789551139</v>
      </c>
      <c r="I671" s="2">
        <v>84.5209565457804</v>
      </c>
      <c r="J671" s="2">
        <v>47.3120632184245</v>
      </c>
      <c r="K671" s="2">
        <v>9.19968391826082</v>
      </c>
    </row>
  </sheetData>
  <hyperlinks>
    <hyperlink r:id="rId1" ref="A1"/>
  </hyperlinks>
  <drawing r:id="rId2"/>
</worksheet>
</file>